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4980" windowHeight="15560" tabRatio="538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neg" localSheetId="2" hidden="1">2</definedName>
    <definedName name="solver_neg" localSheetId="1" hidden="1">2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Props!$G$12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el1" localSheetId="1" hidden="1">1</definedName>
    <definedName name="solver_rhs1" localSheetId="1" hidden="1">PVT!$B$4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3290</definedName>
    <definedName name="solver_val" localSheetId="1" hidden="1">1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/>
  <c r="A18" i="2"/>
  <c r="H9" i="2"/>
  <c r="H7" i="2"/>
  <c r="H10" i="2"/>
  <c r="H8" i="2"/>
  <c r="D59" i="6"/>
  <c r="J4" i="3"/>
  <c r="I26" i="4"/>
  <c r="H26" i="3"/>
  <c r="H24" i="3"/>
  <c r="H27" i="3"/>
  <c r="I25" i="3"/>
  <c r="J28" i="3"/>
  <c r="I27" i="3"/>
  <c r="J29" i="3"/>
  <c r="A20" i="3"/>
  <c r="D34" i="3"/>
  <c r="D33" i="3"/>
  <c r="B35" i="3"/>
  <c r="B34" i="3"/>
  <c r="B33" i="3"/>
  <c r="H25" i="3"/>
  <c r="B4" i="4"/>
  <c r="H27" i="4"/>
  <c r="C4" i="4"/>
  <c r="D4" i="4"/>
  <c r="H29" i="4"/>
  <c r="A4" i="4"/>
  <c r="H28" i="4"/>
  <c r="B20" i="3"/>
  <c r="D20" i="3"/>
  <c r="A30" i="3"/>
  <c r="C20" i="3"/>
  <c r="H30" i="4"/>
  <c r="I28" i="4"/>
  <c r="J31" i="4"/>
  <c r="E20" i="3"/>
  <c r="K4" i="3"/>
  <c r="I8" i="2"/>
  <c r="J11" i="2"/>
  <c r="I30" i="4"/>
  <c r="J32" i="4"/>
  <c r="A23" i="4"/>
  <c r="L4" i="3"/>
  <c r="B23" i="4"/>
  <c r="D23" i="4"/>
  <c r="A33" i="4"/>
  <c r="C23" i="4"/>
  <c r="B30" i="3"/>
  <c r="C30" i="3"/>
  <c r="D30" i="3"/>
  <c r="G30" i="3"/>
  <c r="C11" i="3"/>
  <c r="H18" i="3"/>
  <c r="B26" i="3"/>
  <c r="A26" i="3"/>
  <c r="C26" i="3"/>
  <c r="C12" i="3"/>
  <c r="E23" i="4"/>
  <c r="C18" i="2"/>
  <c r="B18" i="2"/>
  <c r="E11" i="3"/>
  <c r="D11" i="3"/>
  <c r="I11" i="3"/>
  <c r="K11" i="3"/>
  <c r="E30" i="3"/>
  <c r="C9" i="3"/>
  <c r="H21" i="4"/>
  <c r="B29" i="4"/>
  <c r="B33" i="4"/>
  <c r="C33" i="4"/>
  <c r="D33" i="4"/>
  <c r="G33" i="4"/>
  <c r="E11" i="4"/>
  <c r="F30" i="3"/>
  <c r="C10" i="3"/>
  <c r="E12" i="3"/>
  <c r="K12" i="3"/>
  <c r="D12" i="3"/>
  <c r="I12" i="3"/>
  <c r="D18" i="2"/>
  <c r="A26" i="2"/>
  <c r="E18" i="2"/>
  <c r="E33" i="4"/>
  <c r="E9" i="4"/>
  <c r="F33" i="4"/>
  <c r="E10" i="4"/>
  <c r="F10" i="4"/>
  <c r="G11" i="4"/>
  <c r="F11" i="4"/>
  <c r="H11" i="4"/>
  <c r="I11" i="4"/>
  <c r="J11" i="4"/>
  <c r="H16" i="2"/>
  <c r="B22" i="2"/>
  <c r="B26" i="2"/>
  <c r="C26" i="2"/>
  <c r="D26" i="2"/>
  <c r="E26" i="2"/>
  <c r="C9" i="2"/>
  <c r="A22" i="2"/>
  <c r="C22" i="2"/>
  <c r="C12" i="2"/>
  <c r="J9" i="4"/>
  <c r="F19" i="4"/>
  <c r="H11" i="3"/>
  <c r="A29" i="4"/>
  <c r="C29" i="4"/>
  <c r="E12" i="4"/>
  <c r="J11" i="3"/>
  <c r="J12" i="3"/>
  <c r="D10" i="3"/>
  <c r="K10" i="3"/>
  <c r="H10" i="3"/>
  <c r="I10" i="3"/>
  <c r="C18" i="4"/>
  <c r="G9" i="4"/>
  <c r="F9" i="4"/>
  <c r="H12" i="3"/>
  <c r="H9" i="4"/>
  <c r="D9" i="3"/>
  <c r="E9" i="3"/>
  <c r="E14" i="3"/>
  <c r="I9" i="3"/>
  <c r="K9" i="3"/>
  <c r="H9" i="3"/>
  <c r="D9" i="2"/>
  <c r="E9" i="2"/>
  <c r="D19" i="4"/>
  <c r="I9" i="4"/>
  <c r="E19" i="4"/>
  <c r="F26" i="2"/>
  <c r="C10" i="2"/>
  <c r="D10" i="2"/>
  <c r="D12" i="2"/>
  <c r="E12" i="2"/>
  <c r="G26" i="2"/>
  <c r="C11" i="2"/>
  <c r="E18" i="4"/>
  <c r="D18" i="4"/>
  <c r="F12" i="4"/>
  <c r="J12" i="4"/>
  <c r="G12" i="4"/>
  <c r="H12" i="4"/>
  <c r="I12" i="4"/>
  <c r="F9" i="3"/>
  <c r="G9" i="3"/>
  <c r="J9" i="3"/>
  <c r="J10" i="3"/>
  <c r="F12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<sst xmlns="http://schemas.openxmlformats.org/spreadsheetml/2006/main" count="500" uniqueCount="308">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</sst>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11" fontId="5" fillId="0" borderId="2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abSelected="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4" t="s">
        <v>304</v>
      </c>
    </row>
    <row r="26" spans="2:3">
      <c r="B26" s="94" t="s">
        <v>307</v>
      </c>
    </row>
    <row r="27" spans="2:3">
      <c r="B27" s="94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7"/>
      <c r="L17" s="87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7"/>
      <c r="L18" s="87"/>
    </row>
    <row r="19" spans="1:12">
      <c r="K19" s="87"/>
      <c r="L19" s="87"/>
    </row>
    <row r="20" spans="1:12">
      <c r="A20" t="s">
        <v>64</v>
      </c>
      <c r="K20" s="87"/>
      <c r="L20" s="87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7"/>
      <c r="L21" s="87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7"/>
      <c r="L22" s="87"/>
    </row>
    <row r="23" spans="1:12">
      <c r="K23" s="87"/>
      <c r="L23" s="87"/>
    </row>
    <row r="24" spans="1:12">
      <c r="A24" t="s">
        <v>70</v>
      </c>
      <c r="K24" s="87"/>
      <c r="L24" s="87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7"/>
      <c r="L25" s="87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7"/>
      <c r="L26" s="87"/>
    </row>
    <row r="27" spans="1:12">
      <c r="K27" s="87"/>
      <c r="L27" s="87"/>
    </row>
    <row r="28" spans="1:12">
      <c r="A28" t="s">
        <v>76</v>
      </c>
      <c r="K28" s="87"/>
      <c r="L28" s="87"/>
    </row>
    <row r="29" spans="1:12">
      <c r="A29" s="17" t="s">
        <v>77</v>
      </c>
      <c r="K29" s="87"/>
      <c r="L29" s="87"/>
    </row>
    <row r="30" spans="1:12">
      <c r="A30" t="s">
        <v>78</v>
      </c>
      <c r="K30" s="87"/>
      <c r="L30" s="87"/>
    </row>
    <row r="31" spans="1:12">
      <c r="A31" t="s">
        <v>79</v>
      </c>
      <c r="K31" s="87"/>
      <c r="L31" s="87"/>
    </row>
    <row r="32" spans="1:12">
      <c r="K32" s="87"/>
      <c r="L32" s="87"/>
    </row>
    <row r="33" spans="11:12">
      <c r="K33" s="87"/>
      <c r="L33" s="87"/>
    </row>
    <row r="34" spans="11:12">
      <c r="K34" s="87"/>
      <c r="L34" s="87"/>
    </row>
    <row r="35" spans="11:12">
      <c r="K35" s="87"/>
      <c r="L35" s="87"/>
    </row>
    <row r="36" spans="11:12">
      <c r="K36" s="87"/>
      <c r="L36" s="87"/>
    </row>
    <row r="37" spans="11:12">
      <c r="K37" s="87"/>
      <c r="L37" s="87"/>
    </row>
    <row r="38" spans="11:12">
      <c r="K38" s="87"/>
      <c r="L38" s="87"/>
    </row>
    <row r="39" spans="11:12">
      <c r="K39" s="87"/>
      <c r="L39" s="87"/>
    </row>
    <row r="40" spans="11:12">
      <c r="K40" s="87"/>
      <c r="L40" s="87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zoomScale="130" zoomScaleNormal="130" zoomScalePageLayoutView="130" workbookViewId="0">
      <selection activeCell="L13" sqref="L1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6" t="s">
        <v>88</v>
      </c>
      <c r="K3" s="64" t="s">
        <v>88</v>
      </c>
      <c r="L3" s="84" t="s">
        <v>89</v>
      </c>
    </row>
    <row r="4" spans="1:12">
      <c r="A4" s="73" t="s">
        <v>135</v>
      </c>
      <c r="B4" s="73">
        <v>369.8</v>
      </c>
      <c r="C4" s="73">
        <v>4.2489999999999997</v>
      </c>
      <c r="D4" s="73">
        <v>0.152</v>
      </c>
      <c r="E4" s="73">
        <v>-4.2240000000000002</v>
      </c>
      <c r="F4" s="85">
        <v>0.30630000000000002</v>
      </c>
      <c r="G4" s="85">
        <v>-1.5860000000000001E-4</v>
      </c>
      <c r="H4" s="85">
        <v>3.215E-8</v>
      </c>
      <c r="I4" s="20"/>
      <c r="J4" s="4">
        <f>CPA*(TK-TREF)+CPB/2*(TK^2-TREF^2)+CPC/3*(TK^3-TREF^3)+CPD/4*(TK^4-TREF^4)</f>
        <v>0</v>
      </c>
      <c r="K4" s="20">
        <f>J4-_R*(TK-TREF)</f>
        <v>0</v>
      </c>
      <c r="L4" s="21">
        <f>CPA*LN(TK/TREF)+CPB*(TK-TREF)+CPC/2*(TK^2-TREF^2)+CPD/3*(TK^3-TREF^3)-_R*LN(P/PREF)</f>
        <v>-19.144779283316392</v>
      </c>
    </row>
    <row r="5" spans="1:12" ht="13" thickBot="1"/>
    <row r="6" spans="1:12" ht="13" thickBot="1">
      <c r="A6" s="9" t="s">
        <v>29</v>
      </c>
      <c r="B6" s="10"/>
      <c r="C6" s="31" t="s">
        <v>30</v>
      </c>
      <c r="D6" s="32"/>
      <c r="E6" t="s">
        <v>51</v>
      </c>
    </row>
    <row r="7" spans="1:12" ht="13" thickTop="1">
      <c r="A7" s="5" t="s">
        <v>32</v>
      </c>
      <c r="B7" s="48">
        <v>298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2" ht="13" thickBot="1">
      <c r="A8" s="7" t="s">
        <v>38</v>
      </c>
      <c r="B8" s="49">
        <v>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2">
      <c r="A9" s="36" t="s">
        <v>42</v>
      </c>
      <c r="B9" s="44"/>
      <c r="C9" s="29">
        <f>E30-$A$20/3</f>
        <v>0.81044673656505517</v>
      </c>
      <c r="D9" s="6">
        <f>C9*$I$23*$B$7/$B$8</f>
        <v>2008.0541362011354</v>
      </c>
      <c r="E9" s="5">
        <f>P*EXP(Z-1-LN(Z-B)-A/B/2.8284*LN((Z+2.4142*B)/(Z-0.4142*B)))</f>
        <v>0.8392513612675403</v>
      </c>
      <c r="F9" s="29">
        <f>I9+$J$4-'Ref State'!$D$19+'Ref State'!$D$18</f>
        <v>-1196.6793102014378</v>
      </c>
      <c r="G9" s="29">
        <f>F9-Z*_R*TK</f>
        <v>-3204.7334464025735</v>
      </c>
      <c r="H9" s="29">
        <f>K9+$L$4-'Ref State'!$F$19+'Ref State'!$F$18</f>
        <v>-21.840580347180861</v>
      </c>
      <c r="I9" s="29">
        <f>_R*TK*(Z-1-A/B/2.8284*(1+kappa*SQRT(Tr/alpha))*LN((Z+2.4142*B)/(Z-0.4142*B)))</f>
        <v>-1308.6700373738606</v>
      </c>
      <c r="J9" s="29">
        <f>I9-(Z-1)*_R*TK</f>
        <v>-839.01151757499576</v>
      </c>
      <c r="K9" s="6">
        <f>_R*LN(Z-B)-A*_R/B/2.8284*kappa*SQRT(Tr/alpha)*LN((Z+2.4142*B)/(Z-0.4142*B))</f>
        <v>-2.9344403713006058</v>
      </c>
    </row>
    <row r="10" spans="1:12">
      <c r="A10" s="38" t="s">
        <v>45</v>
      </c>
      <c r="B10" s="45"/>
      <c r="C10" s="17">
        <f>F30-$A$20/3</f>
        <v>0.13213251209325408</v>
      </c>
      <c r="D10" s="28">
        <f>C10*$I$23*$B$7/$B$8</f>
        <v>327.38639748252871</v>
      </c>
      <c r="E10" s="54"/>
      <c r="F10" s="17">
        <f>I10+$J$4-'Ref State'!$D$19+'Ref State'!$D$18</f>
        <v>-6616.7686305564621</v>
      </c>
      <c r="G10" s="17">
        <f>F10-Z*_R*TK</f>
        <v>-6944.1550280389911</v>
      </c>
      <c r="H10" s="17">
        <f>K10+$L$4-'Ref State'!$F$19+'Ref State'!$F$18</f>
        <v>-42.490224824939965</v>
      </c>
      <c r="I10" s="17">
        <f>_R*TK*(Z-1-A/B/2.8284*(1+kappa*SQRT(Tr/alpha))*LN((Z+2.4142*B)/(Z-0.4142*B)))</f>
        <v>-6728.7593577288853</v>
      </c>
      <c r="J10" s="17">
        <f>I10-(Z-1)*_R*TK</f>
        <v>-4578.4330992114137</v>
      </c>
      <c r="K10" s="28">
        <f>_R*LN(Z-B)-A*_R/B/2.8284*kappa*SQRT(Tr/alpha)*LN((Z+2.4142*B)/(Z-0.4142*B))</f>
        <v>-23.584084849059714</v>
      </c>
    </row>
    <row r="11" spans="1:12" ht="13" thickBot="1">
      <c r="A11" s="7"/>
      <c r="B11" s="8"/>
      <c r="C11" s="30">
        <f>G30-$A$20/3</f>
        <v>3.4700057385891936E-2</v>
      </c>
      <c r="D11" s="8">
        <f>C11*$I$23*$B$7/$B$8</f>
        <v>85.976771348950734</v>
      </c>
      <c r="E11" s="7">
        <f>P*EXP(Z-1-LN(Z-B)-A/B/2.8284*LN((Z+2.4142*B)/(Z-0.4142*B)))</f>
        <v>0.80581009607280063</v>
      </c>
      <c r="F11" s="30">
        <f>I11+$J$4-'Ref State'!$D$19+'Ref State'!$D$18</f>
        <v>-16027.233677064545</v>
      </c>
      <c r="G11" s="30">
        <f>F11-Z*_R*TK</f>
        <v>-16113.210448413496</v>
      </c>
      <c r="H11" s="30">
        <f>K11+$L$4-'Ref State'!$F$19+'Ref State'!$F$18</f>
        <v>-71.269456952861006</v>
      </c>
      <c r="I11" s="30">
        <f>_R*TK*(Z-1-A/B/2.8284*(1+kappa*SQRT(Tr/alpha))*LN((Z+2.4142*B)/(Z-0.4142*B)))</f>
        <v>-16139.224404236968</v>
      </c>
      <c r="J11" s="30">
        <f>I11-(Z-1)*_R*TK</f>
        <v>-13747.488519585919</v>
      </c>
      <c r="K11" s="8">
        <f>_R*LN(Z-B)-A*_R/B/2.8284*kappa*SQRT(Tr/alpha)*LN((Z+2.4142*B)/(Z-0.4142*B))</f>
        <v>-52.363316976980741</v>
      </c>
    </row>
    <row r="12" spans="1:12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2">
      <c r="A13" s="17"/>
      <c r="B13" s="17"/>
      <c r="E13" s="89" t="s">
        <v>96</v>
      </c>
      <c r="F13" s="17"/>
      <c r="G13" s="17"/>
      <c r="H13" s="17"/>
      <c r="I13" s="17"/>
    </row>
    <row r="14" spans="1:12">
      <c r="C14" s="17"/>
      <c r="D14" s="17"/>
      <c r="E14" s="90">
        <f>E9/E11</f>
        <v>1.0415001814419045</v>
      </c>
      <c r="F14" s="17"/>
      <c r="G14" s="17"/>
    </row>
    <row r="15" spans="1:12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2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8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-2.4338019360508635E-5</v>
      </c>
      <c r="I18" s="16"/>
      <c r="L18" s="87"/>
      <c r="M18" s="87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7"/>
      <c r="M19" s="87"/>
    </row>
    <row r="20" spans="1:13">
      <c r="A20" s="23">
        <f>-(1-J29)</f>
        <v>-0.97727930604420143</v>
      </c>
      <c r="B20" s="23">
        <f>J28-3*J29^2-2*J29</f>
        <v>0.13979391723931489</v>
      </c>
      <c r="C20" s="23">
        <f>-(J28*J29-J29^2-J29^3)</f>
        <v>-3.7159029489846457E-3</v>
      </c>
      <c r="D20" s="23">
        <f>(3*B20-A20^2)/3</f>
        <v>-0.17856436343476376</v>
      </c>
      <c r="E20" s="23">
        <f>(2*A20^3-9*A20*B20+27*C20)/27</f>
        <v>-2.7315548719502734E-2</v>
      </c>
      <c r="F20" s="4" t="s">
        <v>63</v>
      </c>
      <c r="G20" s="20"/>
      <c r="H20" s="20"/>
      <c r="I20" s="21"/>
      <c r="L20" s="87"/>
      <c r="M20" s="87"/>
    </row>
    <row r="21" spans="1:13">
      <c r="L21" s="87"/>
      <c r="M21" s="87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7"/>
      <c r="M22" s="87"/>
    </row>
    <row r="23" spans="1:13">
      <c r="G23" s="23" t="s">
        <v>31</v>
      </c>
      <c r="H23" s="11"/>
      <c r="I23" s="91">
        <v>8.3144720000000003</v>
      </c>
      <c r="J23" s="23"/>
      <c r="M23" s="87"/>
    </row>
    <row r="24" spans="1:13">
      <c r="A24" t="s">
        <v>64</v>
      </c>
      <c r="G24" s="1" t="s">
        <v>36</v>
      </c>
      <c r="H24" s="16">
        <f>TK/B4</f>
        <v>0.80584099513250407</v>
      </c>
      <c r="I24" s="23" t="s">
        <v>37</v>
      </c>
      <c r="J24" s="23"/>
      <c r="L24" s="17"/>
      <c r="M24" s="87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0.23534949399858793</v>
      </c>
      <c r="I25" s="11">
        <f>0.4572355289*(B4*I23)^2*H27/C4</f>
        <v>1146678.1531176986</v>
      </c>
      <c r="J25" s="12"/>
      <c r="L25" s="87"/>
      <c r="M25" s="87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0.60282728831999999</v>
      </c>
      <c r="I26" s="23" t="s">
        <v>44</v>
      </c>
      <c r="J26" s="23"/>
      <c r="L26" s="87"/>
      <c r="M26" s="87"/>
    </row>
    <row r="27" spans="1:13" ht="14">
      <c r="G27" s="19" t="s">
        <v>46</v>
      </c>
      <c r="H27" s="21">
        <f>(1+kappa*(1-SQRT(Tr)))^2</f>
        <v>1.1271588782130753</v>
      </c>
      <c r="I27" s="11">
        <f>0.0777960739*I23*B4/C4</f>
        <v>56.295350967384707</v>
      </c>
      <c r="J27" s="12"/>
      <c r="L27" s="87"/>
      <c r="M27" s="87"/>
    </row>
    <row r="28" spans="1:13">
      <c r="A28" t="s">
        <v>70</v>
      </c>
      <c r="I28" s="1" t="s">
        <v>48</v>
      </c>
      <c r="J28" s="16">
        <f>I25*B8/(I23*B7)^2</f>
        <v>0.1867839949524111</v>
      </c>
      <c r="L28" s="87"/>
      <c r="M28" s="87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2.272069395579852E-2</v>
      </c>
      <c r="L29" s="87"/>
      <c r="M29" s="87"/>
    </row>
    <row r="30" spans="1:13">
      <c r="A30" s="23">
        <f>2*SQRT(-D20/3)</f>
        <v>0.48794038356444563</v>
      </c>
      <c r="B30" s="23">
        <f>3*E20/D20/A30</f>
        <v>0.94052345528893511</v>
      </c>
      <c r="C30" s="23">
        <f>ACOS(B30)</f>
        <v>0.3466284894050049</v>
      </c>
      <c r="D30" s="23">
        <f>C30/3</f>
        <v>0.1155428298016683</v>
      </c>
      <c r="E30" s="23">
        <f>$A$30*COS($D$30)</f>
        <v>0.48468696788365467</v>
      </c>
      <c r="F30" s="23">
        <f>$A$30*COS($D$30+4*PI()/3)</f>
        <v>-0.19362725658814642</v>
      </c>
      <c r="G30" s="23">
        <f>$A$30*COS($D$30+2*PI()/3)</f>
        <v>-0.29105971129550856</v>
      </c>
      <c r="L30" s="87"/>
      <c r="M30" s="87"/>
    </row>
    <row r="31" spans="1:13">
      <c r="L31" s="87"/>
      <c r="M31" s="87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7"/>
      <c r="M32" s="87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7"/>
      <c r="M33" s="87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7"/>
      <c r="M34" s="87"/>
    </row>
    <row r="35" spans="1:13">
      <c r="A35" s="23" t="s">
        <v>104</v>
      </c>
      <c r="B35" s="23">
        <f>'Ref State'!A15</f>
        <v>1</v>
      </c>
      <c r="C35" s="23"/>
      <c r="D35" s="23"/>
      <c r="L35" s="87"/>
      <c r="M35" s="87"/>
    </row>
    <row r="36" spans="1:13">
      <c r="L36" s="87"/>
      <c r="M36" s="87"/>
    </row>
    <row r="37" spans="1:13">
      <c r="L37" s="87"/>
      <c r="M37" s="87"/>
    </row>
    <row r="38" spans="1:13">
      <c r="L38" s="87"/>
      <c r="M38" s="87"/>
    </row>
    <row r="39" spans="1:13">
      <c r="L39" s="87"/>
      <c r="M39" s="87"/>
    </row>
    <row r="40" spans="1:13">
      <c r="L40" s="87"/>
      <c r="M40" s="87"/>
    </row>
    <row r="41" spans="1:13">
      <c r="L41" s="87"/>
      <c r="M41" s="87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I17" sqref="I17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PROPANE</v>
      </c>
      <c r="B4" s="74">
        <f>Props!B4</f>
        <v>369.8</v>
      </c>
      <c r="C4" s="74">
        <f>Props!C4</f>
        <v>4.2489999999999997</v>
      </c>
      <c r="D4" s="74">
        <f>Props!D4</f>
        <v>0.152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>
        <f>E33-$A$23/3</f>
        <v>0.98340950013924266</v>
      </c>
      <c r="F9" s="6">
        <f>E9*$I$26*$B$7/$B$8</f>
        <v>24366.061645256352</v>
      </c>
      <c r="G9" s="5">
        <f>P*EXP(Z-1-LN(Z-B)-A/B/2.8284*LN((Z+2.414*B)/(Z-0.414*B)))</f>
        <v>9.8364041542871206E-2</v>
      </c>
      <c r="H9" s="29">
        <f>_R*TK*(Z-1-A/B/2.8284*(1+kappa*SQRT(Tr/alpha))*LN((Z+2.4142*B)/(Z-0.4142*B)))</f>
        <v>-111.99072717242281</v>
      </c>
      <c r="I9" s="29">
        <f>H9-(Z-1)*_R*TK</f>
        <v>-70.88423569805812</v>
      </c>
      <c r="J9" s="6">
        <f>_R*LN(Z-B)-A*_R/B/2.8284*kappa*SQRT(Tr/alpha)*LN((Z+2.4142*B)/(Z-0.4142*B))</f>
        <v>-0.23863930743613684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>
        <f>F33-$A$23/3</f>
        <v>1.0814499519578247E-2</v>
      </c>
      <c r="F10" s="28">
        <f>E10*$I$26*$B$7/$B$8</f>
        <v>267.95222327964939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>
        <f>G33-$A$23/3</f>
        <v>3.5039309455990875E-3</v>
      </c>
      <c r="F11" s="8">
        <f>E11*$I$26*$B$7/$B$8</f>
        <v>86.817340496609063</v>
      </c>
      <c r="G11" s="7">
        <f>P*EXP(Z-1-LN(Z-B)-A/B/2.8284*LN((Z+2.414*B)/(Z-0.414*B)))</f>
        <v>0.78143337999186002</v>
      </c>
      <c r="H11" s="30">
        <f>_R*TK*(Z-1-A/B/2.8284*(1+kappa*SQRT(Tr/alpha))*LN((Z+2.4142*B)/(Z-0.4142*B)))</f>
        <v>-16112.74755341223</v>
      </c>
      <c r="I11" s="30">
        <f>H11-(Z-1)*_R*TK</f>
        <v>-13643.716631461892</v>
      </c>
      <c r="J11" s="8">
        <f>_R*LN(Z-B)-A*_R/B/2.8284*kappa*SQRT(Tr/alpha)*LN((Z+2.4142*B)/(Z-0.4142*B))</f>
        <v>-71.158335929390034</v>
      </c>
      <c r="K11" s="7"/>
      <c r="L11" s="8"/>
    </row>
    <row r="12" spans="1:12" ht="13" thickBot="1">
      <c r="A12" s="75">
        <v>1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1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0.98340950013924266</v>
      </c>
      <c r="D18" s="69">
        <f>uhflag*$C$18*_R*TK</f>
        <v>0</v>
      </c>
      <c r="E18" s="69">
        <f>(uhflag-1)*$C$18*_R*TK</f>
        <v>-2436.6061645256354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-111.99072717242281</v>
      </c>
      <c r="E19" s="62">
        <f>igrflag*CHOOSE(index,I9,I11,I12)</f>
        <v>-70.88423569805812</v>
      </c>
      <c r="F19" s="63">
        <f>igrflag*CHOOSE(index,J9,J11,J12)</f>
        <v>-0.23863930743613684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-4.4948072480547122E-7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-0.99772793060442011</v>
      </c>
      <c r="B23" s="23">
        <f>J31-3*J32^2-2*J32</f>
        <v>1.4118773806066414E-2</v>
      </c>
      <c r="C23" s="23">
        <f>-(J31*J32-J32^2-J32^3)</f>
        <v>-3.7264591410883456E-5</v>
      </c>
      <c r="D23" s="23">
        <f>(3*B23-A23^2)/3</f>
        <v>-0.31770156736332644</v>
      </c>
      <c r="E23" s="23">
        <f>(2*A23^3-9*A23*B23+27*C23)/27</f>
        <v>-6.8912015673431595E-2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0.80584099513250407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2.3534949399858795E-2</v>
      </c>
      <c r="I28" s="11">
        <f>0.4572355289*(B4*I26)^2*H30/C4</f>
        <v>1146678.1531176986</v>
      </c>
      <c r="J28" s="12"/>
    </row>
    <row r="29" spans="1:10" ht="14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0.60282728831999999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1.1271588782130753</v>
      </c>
      <c r="I30" s="11">
        <f>0.0777960739*I26*B4/C4</f>
        <v>56.295350967384707</v>
      </c>
      <c r="J30" s="12"/>
    </row>
    <row r="31" spans="1:10">
      <c r="A31" t="s">
        <v>70</v>
      </c>
      <c r="I31" s="1" t="s">
        <v>48</v>
      </c>
      <c r="J31" s="16">
        <f>I28*B8/(I26*B7)^2</f>
        <v>1.867839949524111E-2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2.2720693955798526E-3</v>
      </c>
    </row>
    <row r="33" spans="1:7">
      <c r="A33" s="23">
        <f>2*SQRT(-D23/3)</f>
        <v>0.65084720927247475</v>
      </c>
      <c r="B33" s="23">
        <f>3*E23/D23/A33</f>
        <v>0.99981075349613413</v>
      </c>
      <c r="C33" s="23">
        <f>ACOS(B33)</f>
        <v>1.9455203581920655E-2</v>
      </c>
      <c r="D33" s="23">
        <f>C33/3</f>
        <v>6.4850678606402186E-3</v>
      </c>
      <c r="E33" s="23">
        <f>$A$33*COS($D$33)</f>
        <v>0.65083352327110267</v>
      </c>
      <c r="F33" s="23">
        <f>$A$33*COS($D$33+4*PI()/3)</f>
        <v>-0.32176147734856181</v>
      </c>
      <c r="G33" s="23">
        <f>$A$33*COS($D$33+2*PI()/3)</f>
        <v>-0.32907204592254097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/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3" t="s">
        <v>126</v>
      </c>
    </row>
    <row r="8" spans="2:8">
      <c r="B8" s="93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workbookViewId="0">
      <selection activeCell="A2" sqref="A2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3" t="s">
        <v>126</v>
      </c>
    </row>
    <row r="8" spans="2:7">
      <c r="B8" s="93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2">
        <v>5.2130000000000003E-2</v>
      </c>
      <c r="F15" s="92">
        <v>1.1970000000000001E-5</v>
      </c>
      <c r="G15" s="92">
        <v>-1.132E-8</v>
      </c>
    </row>
    <row r="16" spans="2:7">
      <c r="B16">
        <v>2</v>
      </c>
      <c r="C16" t="s">
        <v>134</v>
      </c>
      <c r="D16">
        <v>5.4089999999999998</v>
      </c>
      <c r="E16" s="92">
        <v>0.17810000000000001</v>
      </c>
      <c r="F16" s="92">
        <v>-6.9380000000000003E-5</v>
      </c>
      <c r="G16" s="92">
        <v>8.713E-9</v>
      </c>
    </row>
    <row r="17" spans="2:7">
      <c r="B17">
        <v>3</v>
      </c>
      <c r="C17" t="s">
        <v>135</v>
      </c>
      <c r="D17">
        <v>-4.2240000000000002</v>
      </c>
      <c r="E17" s="92">
        <v>0.30630000000000002</v>
      </c>
      <c r="F17" s="92">
        <v>-1.5860000000000001E-4</v>
      </c>
      <c r="G17" s="92">
        <v>3.215E-8</v>
      </c>
    </row>
    <row r="18" spans="2:7">
      <c r="B18">
        <v>4</v>
      </c>
      <c r="C18" t="s">
        <v>136</v>
      </c>
      <c r="D18">
        <v>9.4870000000000001</v>
      </c>
      <c r="E18" s="92">
        <v>0.33129999999999998</v>
      </c>
      <c r="F18" s="92">
        <v>-1.108E-4</v>
      </c>
      <c r="G18" s="92">
        <v>-2.822E-9</v>
      </c>
    </row>
    <row r="19" spans="2:7">
      <c r="B19">
        <v>5</v>
      </c>
      <c r="C19" t="s">
        <v>137</v>
      </c>
      <c r="D19">
        <v>-1.39</v>
      </c>
      <c r="E19" s="92">
        <v>0.38469999999999999</v>
      </c>
      <c r="F19" s="92">
        <v>-1.8459999999999999E-4</v>
      </c>
      <c r="G19" s="92">
        <v>2.8950000000000001E-8</v>
      </c>
    </row>
    <row r="20" spans="2:7">
      <c r="B20">
        <v>7</v>
      </c>
      <c r="C20" t="s">
        <v>138</v>
      </c>
      <c r="D20">
        <v>-3.6259999999999999</v>
      </c>
      <c r="E20" s="92">
        <v>0.48730000000000001</v>
      </c>
      <c r="F20" s="92">
        <v>-2.5799999999999998E-4</v>
      </c>
      <c r="G20" s="92">
        <v>5.3050000000000002E-8</v>
      </c>
    </row>
    <row r="21" spans="2:7">
      <c r="B21">
        <v>8</v>
      </c>
      <c r="C21" t="s">
        <v>139</v>
      </c>
      <c r="D21">
        <v>-9.5250000000000004</v>
      </c>
      <c r="E21" s="92">
        <v>0.50660000000000005</v>
      </c>
      <c r="F21" s="92">
        <v>-2.7290000000000002E-4</v>
      </c>
      <c r="G21" s="92">
        <v>5.7229999999999997E-8</v>
      </c>
    </row>
    <row r="22" spans="2:7">
      <c r="B22">
        <v>9</v>
      </c>
      <c r="C22" t="s">
        <v>237</v>
      </c>
      <c r="D22">
        <v>-16.59</v>
      </c>
      <c r="E22" s="92">
        <v>0.55520000000000003</v>
      </c>
      <c r="F22" s="92">
        <v>-3.3060000000000001E-4</v>
      </c>
      <c r="G22" s="92">
        <v>7.6329999999999996E-8</v>
      </c>
    </row>
    <row r="23" spans="2:7">
      <c r="B23">
        <v>11</v>
      </c>
      <c r="C23" t="s">
        <v>141</v>
      </c>
      <c r="D23">
        <v>-4.4130000000000003</v>
      </c>
      <c r="E23" s="92">
        <v>0.52800000000000002</v>
      </c>
      <c r="F23" s="92">
        <v>-3.1189999999999999E-4</v>
      </c>
      <c r="G23" s="92">
        <v>6.4939999999999998E-8</v>
      </c>
    </row>
    <row r="24" spans="2:7">
      <c r="B24">
        <v>17</v>
      </c>
      <c r="C24" t="s">
        <v>142</v>
      </c>
      <c r="D24">
        <v>-5.1459999999999999</v>
      </c>
      <c r="E24" s="92">
        <v>0.67620000000000002</v>
      </c>
      <c r="F24" s="92">
        <v>-3.6509999999999998E-4</v>
      </c>
      <c r="G24" s="92">
        <v>7.6580000000000001E-8</v>
      </c>
    </row>
    <row r="25" spans="2:7">
      <c r="B25">
        <v>27</v>
      </c>
      <c r="C25" t="s">
        <v>143</v>
      </c>
      <c r="D25">
        <v>-6.0960000000000001</v>
      </c>
      <c r="E25" s="92">
        <v>0.7712</v>
      </c>
      <c r="F25" s="92">
        <v>-4.1950000000000001E-4</v>
      </c>
      <c r="G25" s="92">
        <v>8.8549999999999996E-8</v>
      </c>
    </row>
    <row r="26" spans="2:7">
      <c r="B26">
        <v>41</v>
      </c>
      <c r="C26" t="s">
        <v>238</v>
      </c>
      <c r="E26" s="92"/>
      <c r="F26" s="92"/>
      <c r="G26" s="92"/>
    </row>
    <row r="27" spans="2:7">
      <c r="B27">
        <v>46</v>
      </c>
      <c r="C27" t="s">
        <v>144</v>
      </c>
      <c r="D27">
        <v>-8.3740000000000006</v>
      </c>
      <c r="E27" s="92">
        <v>0.87290000000000001</v>
      </c>
      <c r="F27" s="92">
        <v>-4.8230000000000001E-4</v>
      </c>
      <c r="G27" s="92">
        <v>1.031E-7</v>
      </c>
    </row>
    <row r="28" spans="2:7">
      <c r="B28">
        <v>56</v>
      </c>
      <c r="C28" t="s">
        <v>145</v>
      </c>
      <c r="D28">
        <v>-7.9130000000000003</v>
      </c>
      <c r="E28" s="92">
        <v>0.96089999999999998</v>
      </c>
      <c r="F28" s="92">
        <v>-5.2879999999999995E-4</v>
      </c>
      <c r="G28" s="92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2">
        <v>-6.3469999999999998E-4</v>
      </c>
      <c r="G29" s="92">
        <v>1.3589999999999999E-7</v>
      </c>
    </row>
    <row r="30" spans="2:7">
      <c r="B30">
        <v>66</v>
      </c>
      <c r="C30" t="s">
        <v>147</v>
      </c>
      <c r="D30" s="92">
        <v>-10.98</v>
      </c>
      <c r="E30">
        <v>1.3380000000000001</v>
      </c>
      <c r="F30" s="92">
        <v>-7.4229999999999999E-4</v>
      </c>
      <c r="G30" s="92">
        <v>1.5979999999999999E-7</v>
      </c>
    </row>
    <row r="31" spans="2:7">
      <c r="B31">
        <v>68</v>
      </c>
      <c r="C31" t="s">
        <v>148</v>
      </c>
      <c r="D31" s="92">
        <v>-13.02</v>
      </c>
      <c r="E31">
        <v>1.5289999999999999</v>
      </c>
      <c r="F31" s="92">
        <v>-8.5369999999999999E-4</v>
      </c>
      <c r="G31" s="92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2">
        <v>-53.62</v>
      </c>
      <c r="E33" s="92">
        <v>0.54259999999999997</v>
      </c>
      <c r="F33" s="92">
        <v>-3.0309999999999999E-4</v>
      </c>
      <c r="G33" s="92">
        <v>6.4850000000000002E-8</v>
      </c>
    </row>
    <row r="34" spans="2:7">
      <c r="B34">
        <v>105</v>
      </c>
      <c r="C34" t="s">
        <v>151</v>
      </c>
      <c r="D34" s="92">
        <v>-50.11</v>
      </c>
      <c r="E34" s="92">
        <v>0.6381</v>
      </c>
      <c r="F34" s="92">
        <v>-3.6420000000000002E-4</v>
      </c>
      <c r="G34" s="92">
        <v>8.0140000000000002E-8</v>
      </c>
    </row>
    <row r="35" spans="2:7">
      <c r="B35">
        <v>137</v>
      </c>
      <c r="C35" t="s">
        <v>152</v>
      </c>
      <c r="D35" s="92">
        <v>-54.54</v>
      </c>
      <c r="E35" s="92">
        <v>0.61129999999999995</v>
      </c>
      <c r="F35" s="92">
        <v>-2.5230000000000001E-4</v>
      </c>
      <c r="G35" s="92">
        <v>1.321E-8</v>
      </c>
    </row>
    <row r="36" spans="2:7">
      <c r="B36">
        <v>138</v>
      </c>
      <c r="C36" t="s">
        <v>153</v>
      </c>
      <c r="D36" s="92">
        <v>-61.92</v>
      </c>
      <c r="E36" s="92">
        <v>0.78420000000000001</v>
      </c>
      <c r="F36" s="92">
        <v>-4.438E-4</v>
      </c>
      <c r="G36" s="92">
        <v>9.3660000000000006E-8</v>
      </c>
    </row>
    <row r="37" spans="2:7">
      <c r="B37">
        <v>153</v>
      </c>
      <c r="C37" t="s">
        <v>239</v>
      </c>
      <c r="D37" s="92"/>
      <c r="E37" s="92"/>
      <c r="F37" s="92"/>
      <c r="G37" s="92"/>
    </row>
    <row r="38" spans="2:7">
      <c r="B38">
        <v>154</v>
      </c>
      <c r="C38" t="s">
        <v>240</v>
      </c>
      <c r="D38" s="92"/>
      <c r="E38" s="92"/>
      <c r="F38" s="92"/>
      <c r="G38" s="92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2">
        <v>0.15659999999999999</v>
      </c>
      <c r="F40" s="92">
        <v>-8.3479999999999994E-5</v>
      </c>
      <c r="G40" s="92">
        <v>1.7550000000000002E-8</v>
      </c>
    </row>
    <row r="41" spans="2:7">
      <c r="B41">
        <v>202</v>
      </c>
      <c r="C41" t="s">
        <v>156</v>
      </c>
      <c r="D41">
        <v>3.71</v>
      </c>
      <c r="E41" s="92">
        <v>0.23449999999999999</v>
      </c>
      <c r="F41" s="92">
        <v>-1.16E-4</v>
      </c>
      <c r="G41" s="92">
        <v>2.2049999999999999E-8</v>
      </c>
    </row>
    <row r="42" spans="2:7">
      <c r="B42">
        <v>204</v>
      </c>
      <c r="C42" t="s">
        <v>157</v>
      </c>
      <c r="D42">
        <v>-2.9940000000000002</v>
      </c>
      <c r="E42" s="92">
        <v>0.35320000000000001</v>
      </c>
      <c r="F42" s="92">
        <v>-1.9900000000000001E-4</v>
      </c>
      <c r="G42" s="92">
        <v>4.4630000000000003E-8</v>
      </c>
    </row>
    <row r="43" spans="2:7">
      <c r="B43">
        <v>205</v>
      </c>
      <c r="C43" t="s">
        <v>242</v>
      </c>
      <c r="E43" s="92"/>
      <c r="F43" s="92"/>
      <c r="G43" s="92"/>
    </row>
    <row r="44" spans="2:7">
      <c r="B44">
        <v>206</v>
      </c>
      <c r="C44" t="s">
        <v>243</v>
      </c>
      <c r="E44" s="92"/>
      <c r="F44" s="92"/>
      <c r="G44" s="92"/>
    </row>
    <row r="45" spans="2:7">
      <c r="B45">
        <v>207</v>
      </c>
      <c r="C45" t="s">
        <v>244</v>
      </c>
      <c r="D45" s="92">
        <v>16.05</v>
      </c>
      <c r="E45" s="92">
        <v>0.28039999999999998</v>
      </c>
      <c r="F45" s="92">
        <v>-1.091E-4</v>
      </c>
      <c r="G45" s="92">
        <v>9.0979999999999998E-9</v>
      </c>
    </row>
    <row r="46" spans="2:7">
      <c r="B46">
        <v>209</v>
      </c>
      <c r="C46" t="s">
        <v>159</v>
      </c>
      <c r="D46" s="92">
        <v>-0.13400000000000001</v>
      </c>
      <c r="E46" s="92">
        <v>0.43290000000000001</v>
      </c>
      <c r="F46" s="92">
        <v>-2.3169999999999999E-4</v>
      </c>
      <c r="G46" s="92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2">
        <v>0.34189999999999998</v>
      </c>
      <c r="F50" s="92">
        <v>-2.34E-4</v>
      </c>
      <c r="G50" s="92">
        <v>6.3349999999999995E-8</v>
      </c>
    </row>
    <row r="51" spans="2:7">
      <c r="B51">
        <v>309</v>
      </c>
      <c r="C51" t="s">
        <v>248</v>
      </c>
      <c r="D51">
        <v>-3.4119999999999999</v>
      </c>
      <c r="E51" s="92">
        <v>0.45850000000000002</v>
      </c>
      <c r="F51" s="92">
        <v>-3.3369999999999998E-4</v>
      </c>
      <c r="G51" s="92">
        <v>9.9999999999999995E-8</v>
      </c>
    </row>
    <row r="52" spans="2:7">
      <c r="B52">
        <v>401</v>
      </c>
      <c r="C52" t="s">
        <v>160</v>
      </c>
      <c r="D52" s="92">
        <v>26.82</v>
      </c>
      <c r="E52" s="92">
        <v>7.578E-2</v>
      </c>
      <c r="F52" s="92">
        <v>-5.007E-5</v>
      </c>
      <c r="G52" s="92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2">
        <v>-33.92</v>
      </c>
      <c r="E54" s="92">
        <v>0.47389999999999999</v>
      </c>
      <c r="F54" s="92">
        <v>-3.0170000000000002E-4</v>
      </c>
      <c r="G54" s="92">
        <v>7.1299999999999997E-8</v>
      </c>
    </row>
    <row r="55" spans="2:7">
      <c r="B55">
        <v>502</v>
      </c>
      <c r="C55" t="s">
        <v>165</v>
      </c>
      <c r="D55" s="92">
        <v>-24.35</v>
      </c>
      <c r="E55" s="92">
        <v>0.51249999999999996</v>
      </c>
      <c r="F55" s="92">
        <v>-2.765E-4</v>
      </c>
      <c r="G55" s="92">
        <v>4.9110000000000001E-8</v>
      </c>
    </row>
    <row r="56" spans="2:7">
      <c r="B56">
        <v>504</v>
      </c>
      <c r="C56" t="s">
        <v>166</v>
      </c>
      <c r="D56" s="92">
        <v>-43.1</v>
      </c>
      <c r="E56" s="92">
        <v>0.70720000000000005</v>
      </c>
      <c r="F56" s="92">
        <v>-4.8109999999999998E-4</v>
      </c>
      <c r="G56" s="92">
        <v>1.3010000000000001E-7</v>
      </c>
    </row>
    <row r="57" spans="2:7">
      <c r="B57">
        <v>505</v>
      </c>
      <c r="C57" t="s">
        <v>250</v>
      </c>
      <c r="D57" s="92">
        <v>-15.85</v>
      </c>
      <c r="E57" s="92">
        <v>0.59619999999999995</v>
      </c>
      <c r="F57" s="92">
        <v>-3.4430000000000002E-4</v>
      </c>
      <c r="G57" s="92">
        <v>7.5279999999999996E-8</v>
      </c>
    </row>
    <row r="58" spans="2:7">
      <c r="B58">
        <v>506</v>
      </c>
      <c r="C58" t="s">
        <v>251</v>
      </c>
      <c r="D58" s="92">
        <v>-29.17</v>
      </c>
      <c r="E58" s="92">
        <v>0.62970000000000004</v>
      </c>
      <c r="F58" s="92">
        <v>-3.747E-4</v>
      </c>
      <c r="G58" s="92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2">
        <v>0.60419999999999996</v>
      </c>
      <c r="F59" s="92">
        <v>-3.3740000000000002E-4</v>
      </c>
      <c r="G59" s="92">
        <v>6.8200000000000002E-8</v>
      </c>
    </row>
    <row r="60" spans="2:7">
      <c r="B60">
        <v>510</v>
      </c>
      <c r="C60" t="s">
        <v>253</v>
      </c>
      <c r="D60" s="92">
        <v>-33.936</v>
      </c>
      <c r="E60" s="92">
        <v>0.78420000000000001</v>
      </c>
      <c r="F60" s="92">
        <v>-5.0869999999999995E-4</v>
      </c>
      <c r="G60" s="92">
        <v>1.2910000000000001E-7</v>
      </c>
    </row>
    <row r="61" spans="2:7">
      <c r="B61">
        <v>558</v>
      </c>
      <c r="C61" t="s">
        <v>254</v>
      </c>
      <c r="D61" s="92">
        <v>-97.07</v>
      </c>
      <c r="E61">
        <v>1.1060000000000001</v>
      </c>
      <c r="F61" s="92">
        <v>-8.855E-4</v>
      </c>
      <c r="G61" s="92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2">
        <v>-68.8</v>
      </c>
      <c r="E63" s="92">
        <v>0.84989999999999999</v>
      </c>
      <c r="F63" s="92">
        <v>-6.5059999999999998E-4</v>
      </c>
      <c r="G63" s="92">
        <v>1.9810000000000001E-7</v>
      </c>
    </row>
    <row r="64" spans="2:7">
      <c r="B64">
        <v>702</v>
      </c>
      <c r="C64" t="s">
        <v>174</v>
      </c>
      <c r="D64" s="92">
        <v>-64.819999999999993</v>
      </c>
      <c r="E64" s="92">
        <v>0.93869999999999998</v>
      </c>
      <c r="F64" s="92">
        <v>-6.9419999999999996E-4</v>
      </c>
      <c r="G64" s="92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2">
        <v>10.94</v>
      </c>
      <c r="E71" s="92">
        <v>0.35589999999999999</v>
      </c>
      <c r="F71" s="92">
        <v>-1.9000000000000001E-4</v>
      </c>
      <c r="G71" s="92">
        <v>3.92E-8</v>
      </c>
    </row>
    <row r="72" spans="2:7">
      <c r="B72">
        <v>1051</v>
      </c>
      <c r="C72" t="s">
        <v>223</v>
      </c>
      <c r="D72">
        <v>6.3010000000000002</v>
      </c>
      <c r="E72" s="92">
        <v>0.2606</v>
      </c>
      <c r="F72" s="92">
        <v>-1.2530000000000001E-4</v>
      </c>
      <c r="G72" s="92">
        <v>2.0380000000000001E-8</v>
      </c>
    </row>
    <row r="73" spans="2:7">
      <c r="B73">
        <v>1101</v>
      </c>
      <c r="C73" t="s">
        <v>178</v>
      </c>
      <c r="D73">
        <v>21.15</v>
      </c>
      <c r="E73" s="92">
        <v>7.0919999999999997E-2</v>
      </c>
      <c r="F73" s="92">
        <v>2.5870000000000001E-5</v>
      </c>
      <c r="G73" s="92">
        <v>-2.852E-8</v>
      </c>
    </row>
    <row r="74" spans="2:7">
      <c r="B74">
        <v>1102</v>
      </c>
      <c r="C74" t="s">
        <v>179</v>
      </c>
      <c r="D74">
        <v>9.0139999999999993</v>
      </c>
      <c r="E74" s="92">
        <v>0.21410000000000001</v>
      </c>
      <c r="F74" s="92">
        <v>-8.3900000000000006E-5</v>
      </c>
      <c r="G74" s="92">
        <v>1.3729999999999999E-9</v>
      </c>
    </row>
    <row r="75" spans="2:7">
      <c r="B75">
        <v>1103</v>
      </c>
      <c r="C75" t="s">
        <v>180</v>
      </c>
      <c r="D75">
        <v>2.4700000000000002</v>
      </c>
      <c r="E75" s="92">
        <v>0.33250000000000002</v>
      </c>
      <c r="F75" s="92">
        <v>-1.8550000000000001E-4</v>
      </c>
      <c r="G75" s="92">
        <v>4.2960000000000002E-8</v>
      </c>
    </row>
    <row r="76" spans="2:7">
      <c r="B76">
        <v>1104</v>
      </c>
      <c r="C76" t="s">
        <v>263</v>
      </c>
      <c r="D76" s="92">
        <v>32.43</v>
      </c>
      <c r="E76" s="92">
        <v>0.1885</v>
      </c>
      <c r="F76" s="92">
        <v>6.4060000000000007E-5</v>
      </c>
      <c r="G76" s="92">
        <v>-9.2609999999999993E-8</v>
      </c>
    </row>
    <row r="77" spans="2:7">
      <c r="B77">
        <v>1105</v>
      </c>
      <c r="C77" t="s">
        <v>182</v>
      </c>
      <c r="D77">
        <v>3.266</v>
      </c>
      <c r="E77" s="92">
        <v>0.41799999999999998</v>
      </c>
      <c r="F77" s="92">
        <v>-2.242E-4</v>
      </c>
      <c r="G77" s="92">
        <v>4.6849999999999999E-8</v>
      </c>
    </row>
    <row r="78" spans="2:7">
      <c r="B78">
        <v>1107</v>
      </c>
      <c r="C78" t="s">
        <v>183</v>
      </c>
      <c r="D78">
        <v>-7.7080000000000002</v>
      </c>
      <c r="E78" s="92">
        <v>0.46889999999999998</v>
      </c>
      <c r="F78" s="92">
        <v>-2.8840000000000002E-4</v>
      </c>
      <c r="G78" s="92">
        <v>7.2310000000000004E-8</v>
      </c>
    </row>
    <row r="79" spans="2:7">
      <c r="B79">
        <v>1114</v>
      </c>
      <c r="C79" t="s">
        <v>264</v>
      </c>
      <c r="E79" s="92"/>
      <c r="F79" s="92"/>
      <c r="G79" s="92"/>
    </row>
    <row r="80" spans="2:7">
      <c r="B80">
        <v>1181</v>
      </c>
      <c r="C80" t="s">
        <v>265</v>
      </c>
      <c r="E80" s="92"/>
      <c r="F80" s="92"/>
      <c r="G80" s="92"/>
    </row>
    <row r="81" spans="2:7">
      <c r="B81">
        <v>1201</v>
      </c>
      <c r="C81" t="s">
        <v>266</v>
      </c>
      <c r="E81" s="92"/>
      <c r="F81" s="92"/>
      <c r="G81" s="92"/>
    </row>
    <row r="82" spans="2:7">
      <c r="B82">
        <v>1211</v>
      </c>
      <c r="C82" t="s">
        <v>267</v>
      </c>
      <c r="E82" s="92"/>
      <c r="F82" s="92"/>
      <c r="G82" s="92"/>
    </row>
    <row r="83" spans="2:7">
      <c r="B83">
        <v>1251</v>
      </c>
      <c r="C83" t="s">
        <v>225</v>
      </c>
      <c r="D83">
        <v>4.84</v>
      </c>
      <c r="E83" s="92">
        <v>0.25490000000000002</v>
      </c>
      <c r="F83" s="92">
        <v>-1.7530000000000001E-4</v>
      </c>
      <c r="G83" s="92">
        <v>4.9490000000000002E-8</v>
      </c>
    </row>
    <row r="84" spans="2:7">
      <c r="B84">
        <v>1256</v>
      </c>
      <c r="C84" t="s">
        <v>268</v>
      </c>
      <c r="E84" s="92"/>
      <c r="F84" s="92"/>
      <c r="G84" s="92"/>
    </row>
    <row r="85" spans="2:7">
      <c r="B85">
        <v>1281</v>
      </c>
      <c r="C85" t="s">
        <v>269</v>
      </c>
      <c r="E85" s="92"/>
      <c r="F85" s="92"/>
      <c r="G85" s="92"/>
    </row>
    <row r="86" spans="2:7">
      <c r="B86">
        <v>1289</v>
      </c>
      <c r="C86" t="s">
        <v>270</v>
      </c>
      <c r="E86" s="92"/>
      <c r="F86" s="92"/>
      <c r="G86" s="92"/>
    </row>
    <row r="87" spans="2:7">
      <c r="B87">
        <v>1312</v>
      </c>
      <c r="C87" t="s">
        <v>271</v>
      </c>
      <c r="E87" s="92"/>
      <c r="F87" s="92"/>
      <c r="G87" s="92"/>
    </row>
    <row r="88" spans="2:7">
      <c r="B88">
        <v>1313</v>
      </c>
      <c r="C88" t="s">
        <v>272</v>
      </c>
      <c r="E88" s="92"/>
      <c r="F88" s="92"/>
      <c r="G88" s="92"/>
    </row>
    <row r="89" spans="2:7">
      <c r="B89">
        <v>1381</v>
      </c>
      <c r="C89" t="s">
        <v>273</v>
      </c>
      <c r="E89" s="92"/>
      <c r="F89" s="92"/>
      <c r="G89" s="92"/>
    </row>
    <row r="90" spans="2:7">
      <c r="B90">
        <v>1479</v>
      </c>
      <c r="C90" t="s">
        <v>274</v>
      </c>
      <c r="D90" s="92">
        <v>19.100000000000001</v>
      </c>
      <c r="E90" s="92">
        <v>0.51619999999999999</v>
      </c>
      <c r="F90" s="92">
        <v>-4.1320000000000001E-4</v>
      </c>
      <c r="G90" s="92">
        <v>1.4539999999999999E-7</v>
      </c>
    </row>
    <row r="91" spans="2:7">
      <c r="B91">
        <v>1402</v>
      </c>
      <c r="C91" t="s">
        <v>186</v>
      </c>
      <c r="D91" s="92">
        <v>21.42</v>
      </c>
      <c r="E91" s="92">
        <v>0.33589999999999998</v>
      </c>
      <c r="F91" s="92">
        <v>-1.0349999999999999E-4</v>
      </c>
      <c r="G91" s="92">
        <v>-9.3570000000000007E-9</v>
      </c>
    </row>
    <row r="92" spans="2:7">
      <c r="B92">
        <v>1403</v>
      </c>
      <c r="C92" t="s">
        <v>275</v>
      </c>
      <c r="D92" s="92"/>
      <c r="E92" s="92"/>
      <c r="F92" s="92"/>
      <c r="G92" s="92"/>
    </row>
    <row r="93" spans="2:7">
      <c r="C93" t="s">
        <v>276</v>
      </c>
      <c r="D93">
        <v>-7.5190000000000001</v>
      </c>
      <c r="E93" s="92">
        <v>0.22220000000000001</v>
      </c>
      <c r="F93" s="92">
        <v>-1.2559999999999999E-4</v>
      </c>
      <c r="G93" s="92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2">
        <v>40.72</v>
      </c>
      <c r="E95" s="92">
        <v>0.2049</v>
      </c>
      <c r="F95" s="92">
        <v>-2.2699999999999999E-4</v>
      </c>
      <c r="G95" s="92">
        <v>8.8430000000000005E-8</v>
      </c>
    </row>
    <row r="96" spans="2:7">
      <c r="B96">
        <v>1502</v>
      </c>
      <c r="C96" t="s">
        <v>277</v>
      </c>
      <c r="D96" s="92">
        <v>13.88</v>
      </c>
      <c r="E96" s="92">
        <v>0.1014</v>
      </c>
      <c r="F96" s="92">
        <v>-3.8890000000000002E-5</v>
      </c>
      <c r="G96" s="92">
        <v>2.5669999999999999E-9</v>
      </c>
    </row>
    <row r="97" spans="2:7">
      <c r="B97">
        <v>1503</v>
      </c>
      <c r="C97" t="s">
        <v>278</v>
      </c>
      <c r="D97" s="92"/>
      <c r="E97" s="92"/>
      <c r="F97" s="92"/>
      <c r="G97" s="92"/>
    </row>
    <row r="98" spans="2:7">
      <c r="B98">
        <v>1511</v>
      </c>
      <c r="C98" t="s">
        <v>279</v>
      </c>
      <c r="D98" s="92"/>
      <c r="E98" s="92"/>
      <c r="F98" s="92"/>
      <c r="G98" s="92"/>
    </row>
    <row r="99" spans="2:7">
      <c r="B99">
        <v>1521</v>
      </c>
      <c r="C99" t="s">
        <v>280</v>
      </c>
      <c r="D99" s="92">
        <v>24</v>
      </c>
      <c r="E99" s="92">
        <v>0.1893</v>
      </c>
      <c r="F99" s="92">
        <v>-1.841E-4</v>
      </c>
      <c r="G99" s="92">
        <v>6.6570000000000006E-8</v>
      </c>
    </row>
    <row r="100" spans="2:7">
      <c r="C100" t="s">
        <v>281</v>
      </c>
      <c r="D100" s="92">
        <v>-33.89</v>
      </c>
      <c r="E100" s="92">
        <v>0.56310000000000004</v>
      </c>
      <c r="F100" s="92">
        <v>-4.5219999999999999E-4</v>
      </c>
      <c r="G100" s="92">
        <v>1.4259999999999999E-7</v>
      </c>
    </row>
    <row r="101" spans="2:7">
      <c r="B101">
        <v>1591</v>
      </c>
      <c r="C101" t="s">
        <v>282</v>
      </c>
      <c r="D101" s="92"/>
      <c r="E101" s="92"/>
      <c r="F101" s="92"/>
      <c r="G101" s="92"/>
    </row>
    <row r="102" spans="2:7">
      <c r="B102">
        <v>1601</v>
      </c>
      <c r="C102" t="s">
        <v>283</v>
      </c>
      <c r="D102" s="92">
        <v>31.6</v>
      </c>
      <c r="E102" s="92">
        <v>0.1782</v>
      </c>
      <c r="F102" s="92">
        <v>-1.5090000000000001E-4</v>
      </c>
      <c r="G102" s="92">
        <v>4.3420000000000001E-8</v>
      </c>
    </row>
    <row r="103" spans="2:7">
      <c r="C103" t="s">
        <v>284</v>
      </c>
      <c r="D103" s="92">
        <v>17.3</v>
      </c>
      <c r="E103" s="92">
        <v>0.1618</v>
      </c>
      <c r="F103" s="92">
        <v>-1.17E-4</v>
      </c>
      <c r="G103" s="92">
        <v>3.058E-8</v>
      </c>
    </row>
    <row r="104" spans="2:7">
      <c r="B104" t="s">
        <v>285</v>
      </c>
      <c r="C104" t="s">
        <v>286</v>
      </c>
      <c r="D104" s="92">
        <v>40.98</v>
      </c>
      <c r="E104" s="92">
        <v>0.1668</v>
      </c>
      <c r="F104" s="92">
        <v>-1.416E-4</v>
      </c>
      <c r="G104" s="92">
        <v>4.1460000000000002E-8</v>
      </c>
    </row>
    <row r="105" spans="2:7">
      <c r="C105" t="s">
        <v>287</v>
      </c>
      <c r="D105" s="92">
        <v>61.14</v>
      </c>
      <c r="E105" s="92">
        <v>0.28739999999999999</v>
      </c>
      <c r="F105" s="92">
        <v>-2.42E-4</v>
      </c>
      <c r="G105" s="92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2">
        <v>21.62</v>
      </c>
      <c r="E107" s="92">
        <v>7.281E-2</v>
      </c>
      <c r="F107" s="92">
        <v>-5.7779999999999999E-5</v>
      </c>
      <c r="G107" s="92">
        <v>1.8299999999999998E-8</v>
      </c>
    </row>
    <row r="108" spans="2:7">
      <c r="B108">
        <v>901</v>
      </c>
      <c r="C108" t="s">
        <v>211</v>
      </c>
      <c r="D108" s="92">
        <v>28.11</v>
      </c>
      <c r="E108" s="92">
        <v>-3.6799999999999999E-6</v>
      </c>
      <c r="F108" s="92">
        <v>1.7459999999999999E-5</v>
      </c>
      <c r="G108" s="92">
        <v>-1.0649999999999999E-8</v>
      </c>
    </row>
    <row r="109" spans="2:7">
      <c r="B109">
        <v>902</v>
      </c>
      <c r="C109" t="s">
        <v>288</v>
      </c>
      <c r="D109" s="92">
        <v>27.14</v>
      </c>
      <c r="E109" s="92">
        <v>9.2739999999999993E-3</v>
      </c>
      <c r="F109" s="92">
        <v>-1.381E-5</v>
      </c>
      <c r="G109" s="92">
        <v>7.645E-9</v>
      </c>
    </row>
    <row r="110" spans="2:7">
      <c r="B110">
        <v>905</v>
      </c>
      <c r="C110" t="s">
        <v>213</v>
      </c>
      <c r="D110" s="92">
        <v>31.15</v>
      </c>
      <c r="E110" s="92">
        <v>-1.357E-2</v>
      </c>
      <c r="F110" s="92">
        <v>2.6800000000000001E-5</v>
      </c>
      <c r="G110" s="92">
        <v>-1.1679999999999999E-8</v>
      </c>
    </row>
    <row r="111" spans="2:7">
      <c r="B111">
        <v>908</v>
      </c>
      <c r="C111" t="s">
        <v>214</v>
      </c>
      <c r="D111" s="92">
        <v>30.87</v>
      </c>
      <c r="E111" s="92">
        <v>-1.285E-2</v>
      </c>
      <c r="F111" s="92">
        <v>2.7889999999999999E-5</v>
      </c>
      <c r="G111" s="92">
        <v>-1.2720000000000001E-8</v>
      </c>
    </row>
    <row r="112" spans="2:7">
      <c r="B112">
        <v>909</v>
      </c>
      <c r="C112" t="s">
        <v>215</v>
      </c>
      <c r="D112" s="92">
        <v>19.8</v>
      </c>
      <c r="E112" s="92">
        <v>7.3440000000000005E-2</v>
      </c>
      <c r="F112" s="92">
        <v>-5.6020000000000002E-5</v>
      </c>
      <c r="G112" s="92">
        <v>1.7150000000000001E-8</v>
      </c>
    </row>
    <row r="113" spans="2:7">
      <c r="B113">
        <v>910</v>
      </c>
      <c r="C113" t="s">
        <v>209</v>
      </c>
      <c r="D113" s="92">
        <v>23.85</v>
      </c>
      <c r="E113" s="92">
        <v>6.6989999999999994E-2</v>
      </c>
      <c r="F113" s="92">
        <v>-4.9610000000000001E-5</v>
      </c>
      <c r="G113" s="92">
        <v>1.328E-8</v>
      </c>
    </row>
    <row r="114" spans="2:7">
      <c r="B114">
        <v>911</v>
      </c>
      <c r="C114" t="s">
        <v>210</v>
      </c>
      <c r="D114" s="92">
        <v>19.21</v>
      </c>
      <c r="E114" s="92">
        <v>0.13739999999999999</v>
      </c>
      <c r="F114" s="92">
        <v>-1.176E-4</v>
      </c>
      <c r="G114" s="92">
        <v>3.7E-8</v>
      </c>
    </row>
    <row r="115" spans="2:7">
      <c r="B115">
        <v>912</v>
      </c>
      <c r="C115" t="s">
        <v>207</v>
      </c>
      <c r="D115" s="92">
        <v>29.35</v>
      </c>
      <c r="E115" s="92">
        <v>-9.3780000000000003E-4</v>
      </c>
      <c r="F115" s="92">
        <v>9.747E-6</v>
      </c>
      <c r="G115" s="92">
        <v>-4.1869999999999997E-9</v>
      </c>
    </row>
    <row r="116" spans="2:7">
      <c r="B116">
        <v>913</v>
      </c>
      <c r="C116" t="s">
        <v>203</v>
      </c>
      <c r="D116" s="92">
        <v>20.8</v>
      </c>
    </row>
    <row r="117" spans="2:7">
      <c r="B117">
        <v>914</v>
      </c>
      <c r="C117" t="s">
        <v>200</v>
      </c>
      <c r="D117" s="92">
        <v>20.8</v>
      </c>
    </row>
    <row r="118" spans="2:7">
      <c r="B118">
        <v>917</v>
      </c>
      <c r="C118" t="s">
        <v>289</v>
      </c>
      <c r="D118" s="92"/>
      <c r="E118" s="92"/>
      <c r="F118" s="92"/>
      <c r="G118" s="92"/>
    </row>
    <row r="119" spans="2:7">
      <c r="B119">
        <v>918</v>
      </c>
      <c r="C119" t="s">
        <v>202</v>
      </c>
      <c r="D119" s="92">
        <v>26.93</v>
      </c>
      <c r="E119" s="92">
        <v>3.3840000000000002E-2</v>
      </c>
      <c r="F119" s="92">
        <v>-3.8689999999999997E-5</v>
      </c>
      <c r="G119" s="92">
        <v>1.5469999999999999E-8</v>
      </c>
    </row>
    <row r="120" spans="2:7">
      <c r="B120">
        <v>919</v>
      </c>
      <c r="C120" t="s">
        <v>205</v>
      </c>
      <c r="D120" s="92">
        <v>20.8</v>
      </c>
    </row>
    <row r="121" spans="2:7">
      <c r="B121">
        <v>920</v>
      </c>
      <c r="C121" t="s">
        <v>204</v>
      </c>
      <c r="D121" s="92">
        <v>20.8</v>
      </c>
    </row>
    <row r="122" spans="2:7">
      <c r="B122">
        <v>922</v>
      </c>
      <c r="C122" t="s">
        <v>201</v>
      </c>
      <c r="D122" s="92">
        <v>33.86</v>
      </c>
      <c r="E122" s="92">
        <v>1.125E-2</v>
      </c>
      <c r="F122" s="92">
        <v>-1.1919999999999999E-5</v>
      </c>
      <c r="G122" s="92">
        <v>4.5340000000000003E-9</v>
      </c>
    </row>
    <row r="123" spans="2:7">
      <c r="B123">
        <v>959</v>
      </c>
      <c r="C123" t="s">
        <v>206</v>
      </c>
      <c r="D123" s="92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2">
        <v>30.67</v>
      </c>
      <c r="E125" s="92">
        <v>-7.2009999999999999E-3</v>
      </c>
      <c r="F125" s="92">
        <v>1.2459999999999999E-5</v>
      </c>
      <c r="G125" s="92">
        <v>-3.8980000000000004E-9</v>
      </c>
    </row>
    <row r="126" spans="2:7">
      <c r="B126">
        <v>1922</v>
      </c>
      <c r="C126" t="s">
        <v>217</v>
      </c>
      <c r="D126" s="92">
        <v>31.94</v>
      </c>
      <c r="E126" s="92">
        <v>1.436E-3</v>
      </c>
      <c r="F126" s="92">
        <v>2.4320000000000001E-5</v>
      </c>
      <c r="G126" s="92">
        <v>-1.1760000000000001E-8</v>
      </c>
    </row>
    <row r="127" spans="2:7">
      <c r="B127">
        <v>1938</v>
      </c>
      <c r="C127" t="s">
        <v>218</v>
      </c>
      <c r="D127" s="92">
        <v>27.44</v>
      </c>
      <c r="E127" s="92">
        <v>8.1269999999999995E-2</v>
      </c>
      <c r="F127" s="92">
        <v>-7.6660000000000001E-5</v>
      </c>
      <c r="G127" s="92">
        <v>2.6729999999999998E-8</v>
      </c>
    </row>
    <row r="128" spans="2:7">
      <c r="C128" t="s">
        <v>219</v>
      </c>
      <c r="D128">
        <v>9.7680000000000007</v>
      </c>
      <c r="E128" s="92">
        <v>0.1895</v>
      </c>
      <c r="F128" s="92">
        <v>-1.6569999999999999E-4</v>
      </c>
      <c r="G128" s="92">
        <v>6.025E-8</v>
      </c>
    </row>
    <row r="129" spans="2:7">
      <c r="C129" t="s">
        <v>221</v>
      </c>
      <c r="D129" s="92">
        <v>21.86</v>
      </c>
      <c r="E129" s="92">
        <v>6.062E-2</v>
      </c>
      <c r="F129" s="92">
        <v>-4.9610000000000001E-5</v>
      </c>
      <c r="G129" s="92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2">
        <v>20.48</v>
      </c>
      <c r="E133" s="92">
        <v>0.1196</v>
      </c>
      <c r="F133" s="92">
        <v>-4.4919999999999997E-5</v>
      </c>
      <c r="G133" s="92">
        <v>3.2029999999999998E-9</v>
      </c>
    </row>
    <row r="134" spans="2:7">
      <c r="B134">
        <v>1801</v>
      </c>
      <c r="C134" t="s">
        <v>294</v>
      </c>
      <c r="D134" s="92"/>
      <c r="E134" s="92"/>
      <c r="F134" s="92"/>
      <c r="G134" s="92"/>
    </row>
    <row r="135" spans="2:7">
      <c r="B135">
        <v>1802</v>
      </c>
      <c r="C135" t="s">
        <v>295</v>
      </c>
      <c r="D135" s="92"/>
      <c r="E135" s="92"/>
      <c r="F135" s="92"/>
      <c r="G135" s="92"/>
    </row>
    <row r="136" spans="2:7">
      <c r="B136">
        <v>1820</v>
      </c>
      <c r="C136" t="s">
        <v>296</v>
      </c>
      <c r="D136" s="92"/>
      <c r="E136" s="92"/>
      <c r="F136" s="92"/>
      <c r="G136" s="92"/>
    </row>
    <row r="137" spans="2:7">
      <c r="B137">
        <v>1877</v>
      </c>
      <c r="C137" t="s">
        <v>297</v>
      </c>
      <c r="D137" s="92"/>
      <c r="E137" s="92"/>
      <c r="F137" s="92"/>
      <c r="G137" s="92"/>
    </row>
    <row r="138" spans="2:7">
      <c r="B138">
        <v>1901</v>
      </c>
      <c r="C138" t="s">
        <v>298</v>
      </c>
      <c r="D138" s="92"/>
      <c r="E138" s="92"/>
      <c r="F138" s="92"/>
      <c r="G138" s="92"/>
    </row>
    <row r="139" spans="2:7">
      <c r="B139">
        <v>1902</v>
      </c>
      <c r="C139" t="s">
        <v>299</v>
      </c>
      <c r="D139" s="92"/>
      <c r="E139" s="92"/>
      <c r="F139" s="92"/>
      <c r="G139" s="92"/>
    </row>
    <row r="140" spans="2:7">
      <c r="B140">
        <v>1903</v>
      </c>
      <c r="C140" t="s">
        <v>300</v>
      </c>
      <c r="D140" s="92"/>
      <c r="E140" s="92"/>
      <c r="F140" s="92"/>
      <c r="G140" s="92"/>
    </row>
    <row r="141" spans="2:7">
      <c r="B141">
        <v>1911</v>
      </c>
      <c r="C141" t="s">
        <v>301</v>
      </c>
      <c r="D141" s="92">
        <v>27.31</v>
      </c>
      <c r="E141" s="92">
        <v>2.383E-2</v>
      </c>
      <c r="F141" s="92">
        <v>1.7070000000000001E-5</v>
      </c>
      <c r="G141" s="92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2">
        <v>1.9239999999999999E-3</v>
      </c>
      <c r="F143" s="92">
        <v>1.0550000000000001E-5</v>
      </c>
      <c r="G143" s="92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5">
        <v>41322</v>
      </c>
      <c r="C6" s="94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PVT</vt:lpstr>
      <vt:lpstr>Props</vt:lpstr>
      <vt:lpstr>Ref State</vt:lpstr>
      <vt:lpstr>Crit. Props</vt:lpstr>
      <vt:lpstr>IG Cps</vt:lpstr>
      <vt:lpstr>rev.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2015-03-15T03:20:35Z</dcterms:modified>
</cp:coreProperties>
</file>