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DCE62591-3C1A-3247-B469-DDC864E12B1F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Props!$H$12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5.2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H30" i="4"/>
  <c r="I28" i="4" s="1"/>
  <c r="J31" i="4" s="1"/>
  <c r="C20" i="3"/>
  <c r="B20" i="3"/>
  <c r="D20" i="3" s="1"/>
  <c r="A30" i="3" s="1"/>
  <c r="C18" i="2"/>
  <c r="E18" i="2" s="1"/>
  <c r="B18" i="2"/>
  <c r="D18" i="2" s="1"/>
  <c r="A26" i="2" s="1"/>
  <c r="I30" i="4"/>
  <c r="J32" i="4" s="1"/>
  <c r="A23" i="4" s="1"/>
  <c r="B26" i="2" l="1"/>
  <c r="C26" i="2" s="1"/>
  <c r="D26" i="2" s="1"/>
  <c r="E26" i="2" s="1"/>
  <c r="C9" i="2" s="1"/>
  <c r="H16" i="2"/>
  <c r="B22" i="2" s="1"/>
  <c r="B23" i="4"/>
  <c r="D23" i="4" s="1"/>
  <c r="A33" i="4" s="1"/>
  <c r="C23" i="4"/>
  <c r="E20" i="3"/>
  <c r="E23" i="4" l="1"/>
  <c r="H21" i="4" s="1"/>
  <c r="B29" i="4" s="1"/>
  <c r="D9" i="2"/>
  <c r="E9" i="2"/>
  <c r="F26" i="2"/>
  <c r="C10" i="2" s="1"/>
  <c r="D10" i="2" s="1"/>
  <c r="A22" i="2"/>
  <c r="C22" i="2" s="1"/>
  <c r="C12" i="2" s="1"/>
  <c r="B30" i="3"/>
  <c r="C30" i="3" s="1"/>
  <c r="D30" i="3" s="1"/>
  <c r="H18" i="3"/>
  <c r="A26" i="3" s="1"/>
  <c r="G26" i="2"/>
  <c r="C11" i="2" s="1"/>
  <c r="B33" i="4" l="1"/>
  <c r="C33" i="4" s="1"/>
  <c r="D33" i="4" s="1"/>
  <c r="F33" i="4" s="1"/>
  <c r="E10" i="4" s="1"/>
  <c r="F10" i="4" s="1"/>
  <c r="B26" i="3"/>
  <c r="C26" i="3" s="1"/>
  <c r="C12" i="3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E33" i="4" l="1"/>
  <c r="E9" i="4" s="1"/>
  <c r="G9" i="4" s="1"/>
  <c r="G33" i="4"/>
  <c r="E11" i="4" s="1"/>
  <c r="H11" i="4" s="1"/>
  <c r="I11" i="4" s="1"/>
  <c r="H9" i="4"/>
  <c r="I9" i="4" s="1"/>
  <c r="J9" i="4"/>
  <c r="F9" i="4"/>
  <c r="J11" i="4"/>
  <c r="G11" i="4"/>
  <c r="E12" i="3"/>
  <c r="K12" i="3"/>
  <c r="D12" i="3"/>
  <c r="I12" i="3"/>
  <c r="J12" i="3" s="1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F11" i="4" l="1"/>
  <c r="E19" i="4"/>
  <c r="H9" i="3"/>
  <c r="H11" i="3"/>
  <c r="D19" i="4"/>
  <c r="F12" i="3" s="1"/>
  <c r="G12" i="3" s="1"/>
  <c r="H10" i="3"/>
  <c r="H12" i="3"/>
  <c r="E14" i="3"/>
  <c r="L15" i="3"/>
  <c r="J9" i="3"/>
  <c r="J11" i="3"/>
  <c r="J10" i="3"/>
  <c r="F11" i="3" l="1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<sst xmlns="http://schemas.openxmlformats.org/spreadsheetml/2006/main" count="504" uniqueCount="312">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</sst>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30" zoomScaleNormal="130" zoomScalePageLayoutView="130" workbookViewId="0">
      <selection activeCell="A4" sqref="A4:D4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27</v>
      </c>
      <c r="B4">
        <v>190.6</v>
      </c>
      <c r="C4">
        <v>4.6040000000000001</v>
      </c>
      <c r="D4">
        <v>1.0999999999999999E-2</v>
      </c>
      <c r="E4">
        <v>19.25</v>
      </c>
      <c r="F4" s="91">
        <v>5.2130000000000003E-2</v>
      </c>
      <c r="G4" s="91">
        <v>1.1970000000000001E-5</v>
      </c>
      <c r="H4" s="91">
        <v>-1.132E-8</v>
      </c>
      <c r="I4" s="20"/>
      <c r="J4" s="4">
        <f>CPA*(TK-TREF)+CPB/2*(TK^2-TREF^2)+CPC/3*(TK^3-TREF^3)+CPD/4*(TK^4-TREF^4)</f>
        <v>-4047.625251774376</v>
      </c>
      <c r="K4" s="20">
        <f>J4-_R*(TK-TREF)</f>
        <v>-2996.177122654376</v>
      </c>
      <c r="L4" s="21">
        <f>CPA*LN(TK/TREF)+CPB*(TK-TREF)+CPC/2*(TK^2-TREF^2)+CPD/3*(TK^3-TREF^3)-_R*LN(P/PREF)</f>
        <v>-47.165321458526449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 x14ac:dyDescent="0.15">
      <c r="A7" s="5" t="s">
        <v>32</v>
      </c>
      <c r="B7" s="48">
        <v>171.54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171.54</v>
      </c>
      <c r="P7">
        <f>N7*C4</f>
        <v>3.54508</v>
      </c>
    </row>
    <row r="8" spans="1:16" ht="16" thickBot="1" x14ac:dyDescent="0.2">
      <c r="A8" s="7" t="s">
        <v>38</v>
      </c>
      <c r="B8" s="49">
        <v>3.5449999999999999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171.54</v>
      </c>
      <c r="P8">
        <f>N8*C4</f>
        <v>2.302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>
        <v>1.1000000000000001</v>
      </c>
      <c r="N9">
        <v>2</v>
      </c>
      <c r="O9">
        <f>M9*Tc</f>
        <v>209.66</v>
      </c>
      <c r="P9">
        <f>N9*C4</f>
        <v>9.2080000000000002</v>
      </c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6" ht="14" thickBot="1" x14ac:dyDescent="0.2">
      <c r="A12" s="40" t="s">
        <v>49</v>
      </c>
      <c r="B12" s="55"/>
      <c r="C12" s="35">
        <f>C26-A20/3</f>
        <v>0.12312990097433069</v>
      </c>
      <c r="D12" s="32">
        <f>C12*$I$23*$B$7/$B$8</f>
        <v>49.539015502943585</v>
      </c>
      <c r="E12" s="31">
        <f>P*EXP(Z-1-LN(Z-B)-A/B/2.8284*LN((Z+2.4142*B)/(Z-0.4142*B)))</f>
        <v>1.9070990108657271</v>
      </c>
      <c r="F12" s="35">
        <f>I12+$J$4-'Ref State'!$D$19+'Ref State'!$D$18</f>
        <v>-10386.774038735108</v>
      </c>
      <c r="G12" s="35">
        <f>F12-Z*_R*TK</f>
        <v>-10562.389848693043</v>
      </c>
      <c r="H12" s="35">
        <f>K12+$L$4-'Ref State'!$F$19+'Ref State'!$F$18</f>
        <v>-78.965071274373003</v>
      </c>
      <c r="I12" s="35">
        <f>_R*TK*(Z-1-A/B/2.8284*(1+kappa*SQRT(Tr/alpha))*LN((Z+2.4142*B)/(Z-0.4142*B)))</f>
        <v>-6339.1487869607308</v>
      </c>
      <c r="J12" s="35">
        <f>I12-(Z-1)*_R*TK</f>
        <v>-5088.5000700386663</v>
      </c>
      <c r="K12" s="32">
        <f>_R*LN(Z-B)-A*_R/B/2.8284*kappa*SQRT(Tr/alpha)*LN((Z+2.4142*B)/(Z-0.4142*B))</f>
        <v>-31.799749815846553</v>
      </c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</row>
    <row r="14" spans="1:16" x14ac:dyDescent="0.15">
      <c r="C14" s="17"/>
      <c r="D14" s="17"/>
      <c r="E14" s="89" t="e">
        <f>E9/E11</f>
        <v>#NUM!</v>
      </c>
      <c r="F14" s="17"/>
      <c r="G14" s="17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t="e">
        <f>E9/E11</f>
        <v>#NUM!</v>
      </c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2.2940890382516723E-5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-0.93344263877413358</v>
      </c>
      <c r="B20" s="23">
        <f>J28-3*J29^2-2*J29</f>
        <v>0.30588504799456412</v>
      </c>
      <c r="C20" s="23">
        <f>-(J28*J29-J29^2-J29^3)</f>
        <v>-2.5378466523613922E-2</v>
      </c>
      <c r="D20" s="23">
        <f>(3*B20-A20^2)/3</f>
        <v>1.5446661367358247E-2</v>
      </c>
      <c r="E20" s="23">
        <f>(2*A20^3-9*A20*B20+27*C20)/27</f>
        <v>9.5507880381186499E-3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0.9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0.76998262380538662</v>
      </c>
      <c r="I25" s="11">
        <f>0.4572355289*(B4*I23)^2*H27/C4</f>
        <v>259537.63838768797</v>
      </c>
      <c r="J25" s="12"/>
      <c r="L25" s="86"/>
      <c r="M25" s="86"/>
    </row>
    <row r="26" spans="1:13" ht="15" x14ac:dyDescent="0.15">
      <c r="A26" s="23">
        <f>(-$E$20/2+SQRT($H$18))^(1/3)</f>
        <v>2.4255905223051516E-2</v>
      </c>
      <c r="B26" s="23">
        <f>(-$E$20/2-SQRT($H$18))^(1/3)</f>
        <v>-0.21227355050676536</v>
      </c>
      <c r="C26" s="23">
        <f>A26+B26</f>
        <v>-0.18801764528371384</v>
      </c>
      <c r="D26" s="17"/>
      <c r="G26" s="3" t="s">
        <v>43</v>
      </c>
      <c r="H26" s="18">
        <f>0.37464+1.54226*D4-0.26992*D4^2</f>
        <v>0.39157219967999995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1.0405921643523577</v>
      </c>
      <c r="I27" s="11">
        <f>0.0777960739*I23*B4/C4</f>
        <v>26.778110950406653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0.45228941744634826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6.655736122586639E-2</v>
      </c>
      <c r="L29" s="86"/>
      <c r="M29" s="86"/>
    </row>
    <row r="30" spans="1:13" x14ac:dyDescent="0.15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3" sqref="A13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METHANE</v>
      </c>
      <c r="B4" s="74">
        <f>Props!B4</f>
        <v>190.6</v>
      </c>
      <c r="C4" s="74">
        <f>Props!C4</f>
        <v>4.6040000000000001</v>
      </c>
      <c r="D4" s="74">
        <f>Props!D4</f>
        <v>1.0999999999999999E-2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>
        <f>C29-A23/3</f>
        <v>0.99777903135336354</v>
      </c>
      <c r="F12" s="32">
        <f>E12*$I$26*$B$7/$B$8</f>
        <v>24722.097338756495</v>
      </c>
      <c r="G12" s="31">
        <f>P*EXP(Z-1-LN(Z-B)-A/B/2.8284*LN((Z+2.414*B)/(Z-0.414*B)))</f>
        <v>9.9778027405684588E-2</v>
      </c>
      <c r="H12" s="35">
        <f>_R*TK*(Z-1-A/B/2.8284*(1+kappa*SQRT(Tr/alpha))*LN((Z+2.4142*B)/(Z-0.4142*B)))</f>
        <v>-18.151866010418306</v>
      </c>
      <c r="I12" s="35">
        <f>H12-(Z-1)*_R*TK</f>
        <v>-12.648943886067967</v>
      </c>
      <c r="J12" s="32">
        <f>_R*LN(Z-B)-A*_R/B/2.8284*kappa*SQRT(Tr/alpha)*LN((Z+2.4142*B)/(Z-0.4142*B))</f>
        <v>-4.2432048246834324E-2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7.6292665144618577E-8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-0.99891924065990623</v>
      </c>
      <c r="B23" s="23">
        <f>J31-3*J32^2-2*J32</f>
        <v>1.1400850086878273E-3</v>
      </c>
      <c r="C23" s="23">
        <f>-(J31*J32-J32^2-J32^3)</f>
        <v>-2.4027230147432813E-6</v>
      </c>
      <c r="D23" s="23">
        <f>(3*B23-A23^2)/3</f>
        <v>-0.33147313144483342</v>
      </c>
      <c r="E23" s="23">
        <f>(2*A23^3-9*A23*B23+27*C23)/27</f>
        <v>-7.3456949908892788E-2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1.5634837355718783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2.1720243266724587E-2</v>
      </c>
      <c r="I28" s="11">
        <f>0.4572355289*(B4*I26)^2*H30/C4</f>
        <v>202902.55177837631</v>
      </c>
      <c r="J28" s="12"/>
    </row>
    <row r="29" spans="1:10" ht="15" x14ac:dyDescent="0.15">
      <c r="A29" s="23">
        <f>(-$E$23/2+SQRT($H$21))^(1/3)</f>
        <v>0.33323625262143203</v>
      </c>
      <c r="B29" s="23">
        <f>(-$E$23/2-SQRT($H$21))^(1/3)</f>
        <v>0.33156969851196277</v>
      </c>
      <c r="C29" s="23">
        <f>A29+B29</f>
        <v>0.6648059511333948</v>
      </c>
      <c r="D29" s="17"/>
      <c r="G29" s="3" t="s">
        <v>43</v>
      </c>
      <c r="H29" s="18">
        <f>0.37464+1.54226*D4-0.26992*D4^2</f>
        <v>0.39157219967999995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0.81351902105345275</v>
      </c>
      <c r="I30" s="11">
        <f>0.0777960739*I26*B4/C4</f>
        <v>26.778110950406653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3.305107811129067E-3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1.0807593400938198E-3</v>
      </c>
    </row>
    <row r="33" spans="1:7" x14ac:dyDescent="0.15">
      <c r="A33" s="23">
        <f>2*SQRT(-D23/3)</f>
        <v>0.66480386224793997</v>
      </c>
      <c r="B33" s="23">
        <f>3*E23/D23/A33</f>
        <v>1.0000282790894026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workbookViewId="0">
      <selection activeCell="C12" sqref="C12:F12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5" sqref="D15:G15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2020-02-26T02:22:37Z</dcterms:modified>
</cp:coreProperties>
</file>