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7 Excel/"/>
    </mc:Choice>
  </mc:AlternateContent>
  <xr:revisionPtr revIDLastSave="0" documentId="10_ncr:8100000_{E0B033C3-A26A-AB42-96CA-DA550AC27712}" xr6:coauthVersionLast="34" xr6:coauthVersionMax="34" xr10:uidLastSave="{00000000-0000-0000-0000-000000000000}"/>
  <bookViews>
    <workbookView xWindow="0" yWindow="460" windowWidth="24980" windowHeight="155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Props!$B$8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Props!$D$12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67.282048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3" l="1"/>
  <c r="P8" i="3"/>
  <c r="O8" i="3"/>
  <c r="O9" i="3"/>
  <c r="P7" i="3"/>
  <c r="O7" i="3"/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/>
  <c r="A4" i="4"/>
  <c r="L4" i="3"/>
  <c r="H27" i="3" l="1"/>
  <c r="I25" i="3" s="1"/>
  <c r="J28" i="3" s="1"/>
  <c r="C20" i="3" s="1"/>
  <c r="H30" i="4"/>
  <c r="I28" i="4" s="1"/>
  <c r="J31" i="4" s="1"/>
  <c r="C18" i="2"/>
  <c r="E18" i="2" s="1"/>
  <c r="B18" i="2"/>
  <c r="D18" i="2" s="1"/>
  <c r="A26" i="2" s="1"/>
  <c r="I30" i="4"/>
  <c r="J32" i="4" s="1"/>
  <c r="A23" i="4" s="1"/>
  <c r="B20" i="3" l="1"/>
  <c r="D20" i="3" s="1"/>
  <c r="A30" i="3" s="1"/>
  <c r="B26" i="2"/>
  <c r="C26" i="2" s="1"/>
  <c r="D26" i="2" s="1"/>
  <c r="E26" i="2" s="1"/>
  <c r="C9" i="2" s="1"/>
  <c r="H16" i="2"/>
  <c r="B22" i="2" s="1"/>
  <c r="B23" i="4"/>
  <c r="D23" i="4" s="1"/>
  <c r="A33" i="4" s="1"/>
  <c r="C23" i="4"/>
  <c r="E20" i="3" l="1"/>
  <c r="B30" i="3" s="1"/>
  <c r="C30" i="3" s="1"/>
  <c r="D30" i="3" s="1"/>
  <c r="E23" i="4"/>
  <c r="H21" i="4" s="1"/>
  <c r="B29" i="4" s="1"/>
  <c r="D9" i="2"/>
  <c r="E9" i="2"/>
  <c r="F26" i="2"/>
  <c r="C10" i="2" s="1"/>
  <c r="D10" i="2" s="1"/>
  <c r="A22" i="2"/>
  <c r="C22" i="2" s="1"/>
  <c r="C12" i="2" s="1"/>
  <c r="G26" i="2"/>
  <c r="C11" i="2" s="1"/>
  <c r="H18" i="3" l="1"/>
  <c r="A26" i="3" s="1"/>
  <c r="B33" i="4"/>
  <c r="C33" i="4" s="1"/>
  <c r="D33" i="4" s="1"/>
  <c r="F33" i="4" s="1"/>
  <c r="E10" i="4" s="1"/>
  <c r="F10" i="4" s="1"/>
  <c r="E11" i="2"/>
  <c r="D11" i="2"/>
  <c r="D12" i="2"/>
  <c r="E12" i="2"/>
  <c r="A29" i="4"/>
  <c r="C29" i="4" s="1"/>
  <c r="E12" i="4" s="1"/>
  <c r="C18" i="4" s="1"/>
  <c r="E30" i="3"/>
  <c r="C9" i="3" s="1"/>
  <c r="F30" i="3"/>
  <c r="C10" i="3" s="1"/>
  <c r="G30" i="3"/>
  <c r="C11" i="3" s="1"/>
  <c r="H12" i="2"/>
  <c r="B26" i="3" l="1"/>
  <c r="C26" i="3" s="1"/>
  <c r="C12" i="3" s="1"/>
  <c r="K12" i="3" s="1"/>
  <c r="E33" i="4"/>
  <c r="E9" i="4" s="1"/>
  <c r="G9" i="4" s="1"/>
  <c r="G33" i="4"/>
  <c r="E11" i="4" s="1"/>
  <c r="H11" i="4" s="1"/>
  <c r="I11" i="4" s="1"/>
  <c r="J9" i="4"/>
  <c r="F9" i="4"/>
  <c r="J11" i="4"/>
  <c r="G11" i="4"/>
  <c r="D11" i="3"/>
  <c r="M17" i="3" s="1"/>
  <c r="I11" i="3"/>
  <c r="K11" i="3"/>
  <c r="E11" i="3"/>
  <c r="I10" i="3"/>
  <c r="K10" i="3"/>
  <c r="D10" i="3"/>
  <c r="E18" i="4"/>
  <c r="D18" i="4"/>
  <c r="D9" i="3"/>
  <c r="K9" i="3"/>
  <c r="I9" i="3"/>
  <c r="E9" i="3"/>
  <c r="G12" i="4"/>
  <c r="H12" i="4"/>
  <c r="I12" i="4" s="1"/>
  <c r="F12" i="4"/>
  <c r="J12" i="4"/>
  <c r="F19" i="4" s="1"/>
  <c r="H9" i="4" l="1"/>
  <c r="I9" i="4" s="1"/>
  <c r="I12" i="3"/>
  <c r="J12" i="3" s="1"/>
  <c r="D12" i="3"/>
  <c r="E12" i="3"/>
  <c r="F11" i="4"/>
  <c r="E19" i="4"/>
  <c r="H9" i="3"/>
  <c r="H11" i="3"/>
  <c r="D19" i="4"/>
  <c r="H10" i="3"/>
  <c r="H12" i="3"/>
  <c r="E14" i="3"/>
  <c r="L15" i="3"/>
  <c r="J9" i="3"/>
  <c r="J11" i="3"/>
  <c r="J10" i="3"/>
  <c r="F12" i="3" l="1"/>
  <c r="G12" i="3" s="1"/>
  <c r="F11" i="3"/>
  <c r="G11" i="3" s="1"/>
  <c r="F10" i="3"/>
  <c r="G10" i="3" s="1"/>
  <c r="F9" i="3"/>
  <c r="G9" i="3" s="1"/>
</calcChain>
</file>

<file path=xl/sharedStrings.xml><?xml version="1.0" encoding="utf-8"?>
<sst xmlns="http://schemas.openxmlformats.org/spreadsheetml/2006/main" count="505" uniqueCount="313">
  <si>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</si>
  <si>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</si>
  <si>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</si>
  <si>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</si>
  <si>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</si>
  <si>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</si>
  <si>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</si>
  <si>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</si>
  <si>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</si>
  <si>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</si>
  <si>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</si>
  <si>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</si>
  <si>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</si>
  <si>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</si>
  <si>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</si>
  <si>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</si>
  <si>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</si>
  <si>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</si>
  <si>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</si>
  <si>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</si>
  <si>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</si>
  <si>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</si>
  <si>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</si>
  <si>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</si>
  <si>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</si>
  <si>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</si>
  <si>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</si>
  <si>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</si>
  <si>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</si>
  <si>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</si>
  <si>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</si>
  <si>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</si>
  <si>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</si>
  <si>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</si>
  <si>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</si>
  <si>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</si>
  <si>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</si>
  <si>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</si>
  <si>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</si>
  <si>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</si>
  <si>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</si>
  <si>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</si>
  <si>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</si>
  <si>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</si>
  <si>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</si>
  <si>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</si>
  <si>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</si>
  <si>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</si>
  <si>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</si>
  <si>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</si>
  <si>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</si>
  <si>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</si>
  <si>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</si>
  <si>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</si>
  <si>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</si>
  <si>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</si>
  <si>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</si>
  <si>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</si>
  <si>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</si>
  <si>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</si>
  <si>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</si>
  <si>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</si>
  <si>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</si>
  <si>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</si>
  <si>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</si>
  <si>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</si>
  <si>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</si>
  <si>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</si>
  <si>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</si>
  <si>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</si>
  <si>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</si>
  <si>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</si>
  <si>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</si>
  <si>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</si>
  <si>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</si>
  <si>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</si>
  <si>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</si>
  <si>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</si>
  <si>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</si>
  <si>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</si>
  <si>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</si>
  <si>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</si>
  <si>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</si>
  <si>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</si>
  <si>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</si>
  <si>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</si>
  <si>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</si>
  <si>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</si>
  <si>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</si>
  <si>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</si>
  <si>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</si>
  <si>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</si>
  <si>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</si>
  <si>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</si>
  <si>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</si>
  <si>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</si>
  <si>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</si>
  <si>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</si>
  <si>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</si>
  <si>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</si>
  <si>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</si>
  <si>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</si>
  <si>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</si>
  <si>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</si>
  <si>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</si>
  <si>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</si>
  <si>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</si>
  <si>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</si>
  <si>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</si>
  <si>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</si>
  <si>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</si>
  <si>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</si>
  <si>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</si>
  <si>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</si>
  <si>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</si>
  <si>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</si>
  <si>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</si>
  <si>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</si>
  <si>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</si>
  <si>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</si>
  <si>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</si>
  <si>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</si>
  <si>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</si>
  <si>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</si>
  <si>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</si>
  <si>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</si>
  <si>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</si>
  <si>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</si>
  <si>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</si>
  <si>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</si>
  <si>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</si>
  <si>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</si>
  <si>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</si>
  <si>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</si>
  <si>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</si>
  <si>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</si>
  <si>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</si>
  <si>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</si>
  <si>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</si>
  <si>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</si>
  <si>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</si>
  <si>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</si>
  <si>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</si>
  <si>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</si>
  <si>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</si>
  <si>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</si>
  <si>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</si>
  <si>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</si>
  <si>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</si>
  <si>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</si>
  <si>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</si>
  <si>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</si>
  <si>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</si>
  <si>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</si>
  <si>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</si>
  <si>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</si>
  <si>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</si>
  <si>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</si>
  <si>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</si>
  <si>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</si>
  <si>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</si>
  <si>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</si>
  <si>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</si>
  <si>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</si>
  <si>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</si>
  <si>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</si>
  <si>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</si>
  <si>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</si>
  <si>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</si>
  <si>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</si>
  <si>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</si>
  <si>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</si>
  <si>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</si>
  <si>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</si>
  <si>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</si>
  <si>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</si>
  <si>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</si>
  <si>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</si>
  <si>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</si>
  <si>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</si>
  <si>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</si>
  <si>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</si>
  <si>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</si>
  <si>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</si>
  <si>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</si>
  <si>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</si>
  <si>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</si>
  <si>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</si>
  <si>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</si>
  <si>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</si>
  <si>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</si>
  <si>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</si>
  <si>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</si>
  <si>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</si>
  <si>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</si>
  <si>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</si>
  <si>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</si>
  <si>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</si>
  <si>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</si>
  <si>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</si>
  <si>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</si>
  <si>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</si>
  <si>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</si>
  <si>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</si>
  <si>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</si>
  <si>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</si>
  <si>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</si>
  <si>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</si>
  <si>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</si>
  <si>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</si>
  <si>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</si>
  <si>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</si>
  <si>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</si>
  <si>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</si>
  <si>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</si>
  <si>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</si>
  <si>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</si>
  <si>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</si>
  <si>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</si>
  <si>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</si>
  <si>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</si>
  <si>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</si>
  <si>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</si>
  <si>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</si>
  <si>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</si>
  <si>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</si>
  <si>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</si>
  <si>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</si>
  <si>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</si>
  <si>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</si>
  <si>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</si>
  <si>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</si>
  <si>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</si>
  <si>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</si>
  <si>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</si>
  <si>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</si>
  <si>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</si>
  <si>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</si>
  <si>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</si>
  <si>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</si>
  <si>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</si>
  <si>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</si>
  <si>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</si>
  <si>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</si>
  <si>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</si>
  <si>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</si>
  <si>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</si>
  <si>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</si>
  <si>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</si>
  <si>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</si>
  <si>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</si>
  <si>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</si>
  <si>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</si>
  <si>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</si>
  <si>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</si>
  <si>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</si>
  <si>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</si>
  <si>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</si>
  <si>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</si>
  <si>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</si>
  <si>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</si>
  <si>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</si>
  <si>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</si>
  <si>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</si>
  <si>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</si>
  <si>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</si>
  <si>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</si>
  <si>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</si>
  <si>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</si>
  <si>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</si>
  <si>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</si>
  <si>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</si>
  <si>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</si>
  <si>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</si>
  <si>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</si>
  <si>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</si>
  <si>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</si>
  <si>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</si>
  <si>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</si>
  <si>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</si>
  <si>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</si>
  <si>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</si>
  <si>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</si>
  <si>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</si>
  <si>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</si>
  <si>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</si>
  <si>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</si>
  <si>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</si>
  <si>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</si>
  <si>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</si>
  <si>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</si>
  <si>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</si>
  <si>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</si>
  <si>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</si>
  <si>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</si>
  <si>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</si>
  <si>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</si>
  <si>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</si>
  <si>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</si>
  <si>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</si>
  <si>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</si>
  <si>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</si>
  <si>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</si>
  <si>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</si>
  <si>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</si>
  <si>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</si>
  <si>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</si>
  <si>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</si>
  <si>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Tr</t>
  </si>
  <si>
    <t>pr</t>
  </si>
  <si>
    <t>Tk</t>
  </si>
  <si>
    <t>Pmpa</t>
  </si>
  <si>
    <t>Final volume 7.4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</si>
</sst>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abSelected="1" zoomScale="130" zoomScaleNormal="130" zoomScalePageLayoutView="130" workbookViewId="0">
      <selection activeCell="E4" sqref="E4:H4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 x14ac:dyDescent="0.15">
      <c r="A1" t="s">
        <v>20</v>
      </c>
      <c r="F1" t="s">
        <v>21</v>
      </c>
    </row>
    <row r="2" spans="1:16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 x14ac:dyDescent="0.15">
      <c r="A4" t="s">
        <v>161</v>
      </c>
      <c r="B4">
        <v>425.4</v>
      </c>
      <c r="C4">
        <v>4.33</v>
      </c>
      <c r="D4">
        <v>0.193</v>
      </c>
      <c r="E4">
        <v>-1.6870000000000001</v>
      </c>
      <c r="F4" s="91">
        <v>0.34189999999999998</v>
      </c>
      <c r="G4" s="91">
        <v>-2.34E-4</v>
      </c>
      <c r="H4" s="91">
        <v>6.3349999999999995E-8</v>
      </c>
      <c r="I4" s="20"/>
      <c r="J4" s="4">
        <f>CPA*(TK-TREF)+CPB/2*(TK^2-TREF^2)+CPC/3*(TK^3-TREF^3)+CPD/4*(TK^4-TREF^4)</f>
        <v>0</v>
      </c>
      <c r="K4" s="20">
        <f>J4-_R*(TK-TREF)</f>
        <v>0</v>
      </c>
      <c r="L4" s="21">
        <f>CPA*LN(TK/TREF)+CPB*(TK-TREF)+CPC/2*(TK^2-TREF^2)+CPD/3*(TK^3-TREF^3)-_R*LN(P/PREF)</f>
        <v>-48.415951978681136</v>
      </c>
    </row>
    <row r="5" spans="1:16" ht="14" thickBot="1" x14ac:dyDescent="0.2"/>
    <row r="6" spans="1:16" ht="14" thickBot="1" x14ac:dyDescent="0.2">
      <c r="A6" s="9" t="s">
        <v>29</v>
      </c>
      <c r="B6" s="10"/>
      <c r="C6" s="31" t="s">
        <v>30</v>
      </c>
      <c r="D6" s="32"/>
      <c r="E6" t="s">
        <v>51</v>
      </c>
      <c r="M6" t="s">
        <v>308</v>
      </c>
      <c r="N6" t="s">
        <v>309</v>
      </c>
      <c r="O6" t="s">
        <v>310</v>
      </c>
      <c r="P6" t="s">
        <v>311</v>
      </c>
    </row>
    <row r="7" spans="1:16" ht="16" thickTop="1" x14ac:dyDescent="0.15">
      <c r="A7" s="5" t="s">
        <v>32</v>
      </c>
      <c r="B7" s="48">
        <v>298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>
        <v>0.9</v>
      </c>
      <c r="N7">
        <v>0.77</v>
      </c>
      <c r="O7">
        <f>M7*Tc</f>
        <v>382.86</v>
      </c>
      <c r="P7">
        <f>N7*C4</f>
        <v>3.3341000000000003</v>
      </c>
    </row>
    <row r="8" spans="1:16" ht="16" thickBot="1" x14ac:dyDescent="0.2">
      <c r="A8" s="7" t="s">
        <v>38</v>
      </c>
      <c r="B8" s="49">
        <v>33.801625818569889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>
        <v>0.9</v>
      </c>
      <c r="N8">
        <v>0.5</v>
      </c>
      <c r="O8">
        <f>M8*Tc</f>
        <v>382.86</v>
      </c>
      <c r="P8">
        <f>N8*C4</f>
        <v>2.165</v>
      </c>
    </row>
    <row r="9" spans="1:16" x14ac:dyDescent="0.15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>
        <v>1.1000000000000001</v>
      </c>
      <c r="N9">
        <v>2</v>
      </c>
      <c r="O9">
        <f>M9*Tc</f>
        <v>467.94</v>
      </c>
      <c r="P9">
        <f>N9*C4</f>
        <v>8.66</v>
      </c>
    </row>
    <row r="10" spans="1:16" x14ac:dyDescent="0.15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</row>
    <row r="11" spans="1:16" ht="14" thickBot="1" x14ac:dyDescent="0.2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</row>
    <row r="12" spans="1:16" ht="14" thickBot="1" x14ac:dyDescent="0.2">
      <c r="A12" s="40" t="s">
        <v>49</v>
      </c>
      <c r="B12" s="55"/>
      <c r="C12" s="35">
        <f>C26-A20/3</f>
        <v>1.0673808139835577</v>
      </c>
      <c r="D12" s="32">
        <f>C12*$I$23*$B$7/$B$8</f>
        <v>78.240702555961718</v>
      </c>
      <c r="E12" s="31">
        <f>P*EXP(Z-1-LN(Z-B)-A/B/2.8284*LN((Z+2.4142*B)/(Z-0.4142*B)))</f>
        <v>0.77805384081285345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>
        <f>_R*TK*(Z-1-A/B/2.8284*(1+kappa*SQRT(Tr/alpha))*LN((Z+2.4142*B)/(Z-0.4142*B)))</f>
        <v>-20077.354389232692</v>
      </c>
      <c r="J12" s="35">
        <f>I12-(Z-1)*_R*TK</f>
        <v>-20244.304684811334</v>
      </c>
      <c r="K12" s="32">
        <f>_R*LN(Z-B)-A*_R/B/2.8284*kappa*SQRT(Tr/alpha)*LN((Z+2.4142*B)/(Z-0.4142*B))</f>
        <v>-36.015903574603342</v>
      </c>
    </row>
    <row r="13" spans="1:16" x14ac:dyDescent="0.15">
      <c r="A13" s="17"/>
      <c r="B13" s="17"/>
      <c r="E13" s="88" t="s">
        <v>96</v>
      </c>
      <c r="F13" s="17"/>
      <c r="G13" s="17"/>
      <c r="H13" s="17"/>
      <c r="I13" s="17"/>
    </row>
    <row r="14" spans="1:16" x14ac:dyDescent="0.15">
      <c r="C14" s="17"/>
      <c r="D14" s="17"/>
      <c r="E14" s="89" t="e">
        <f>E9/E11</f>
        <v>#NUM!</v>
      </c>
      <c r="F14" s="17"/>
      <c r="G14" s="17"/>
    </row>
    <row r="15" spans="1:16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 t="e">
        <f>E9/E11</f>
        <v>#NUM!</v>
      </c>
    </row>
    <row r="16" spans="1:16" x14ac:dyDescent="0.15">
      <c r="A16" s="83" t="s">
        <v>98</v>
      </c>
      <c r="B16" s="20"/>
      <c r="C16" s="20"/>
      <c r="D16" s="20"/>
      <c r="E16" s="20"/>
      <c r="F16" s="20"/>
      <c r="G16" s="20"/>
      <c r="H16" s="21"/>
      <c r="M16" t="s">
        <v>312</v>
      </c>
    </row>
    <row r="17" spans="1:13" x14ac:dyDescent="0.15">
      <c r="A17" s="60"/>
      <c r="B17" s="60"/>
      <c r="C17" s="87"/>
      <c r="D17" s="17"/>
      <c r="E17" s="17"/>
      <c r="F17" s="17"/>
      <c r="G17" s="17"/>
      <c r="H17" s="17"/>
      <c r="M17" t="e">
        <f>2*D11</f>
        <v>#NUM!</v>
      </c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13.810100061850081</v>
      </c>
      <c r="I18" s="16"/>
      <c r="L18" s="86"/>
      <c r="M18" s="86">
        <v>67.282048478751904</v>
      </c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-0.13306089087857975</v>
      </c>
      <c r="B20" s="23">
        <f>J28-3*J29^2-2*J29</f>
        <v>4.9404148042759646</v>
      </c>
      <c r="C20" s="23">
        <f>-(J28*J29-J29^2-J29^3)</f>
        <v>-6.3377763472987487</v>
      </c>
      <c r="D20" s="23">
        <f>(3*B20-A20^2)/3</f>
        <v>4.9345130707154974</v>
      </c>
      <c r="E20" s="23">
        <f>(2*A20^3-9*A20*B20+27*C20)/27</f>
        <v>-6.1188255244488055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 ht="15" x14ac:dyDescent="0.15">
      <c r="G23" s="23" t="s">
        <v>31</v>
      </c>
      <c r="H23" s="11"/>
      <c r="I23" s="90">
        <v>8.3144720000000003</v>
      </c>
      <c r="J23" s="23"/>
      <c r="M23" s="86"/>
    </row>
    <row r="24" spans="1:13" ht="16" x14ac:dyDescent="0.2">
      <c r="A24" t="s">
        <v>64</v>
      </c>
      <c r="G24" s="1" t="s">
        <v>36</v>
      </c>
      <c r="H24" s="16">
        <f>TK/B4</f>
        <v>0.70051716031969913</v>
      </c>
      <c r="I24" s="23" t="s">
        <v>37</v>
      </c>
      <c r="J24" s="23"/>
      <c r="L24" s="17"/>
      <c r="M24" s="86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7.8063800966674108</v>
      </c>
      <c r="I25" s="11">
        <f>0.4572355289*(B4*I23)^2*H27/C4</f>
        <v>1621695.1450593036</v>
      </c>
      <c r="J25" s="12"/>
      <c r="L25" s="86"/>
      <c r="M25" s="86"/>
    </row>
    <row r="26" spans="1:13" ht="15" x14ac:dyDescent="0.15">
      <c r="A26" s="23">
        <f>(-$E$20/2+SQRT($H$18))^(1/3)</f>
        <v>1.8922684016798208</v>
      </c>
      <c r="B26" s="23">
        <f>(-$E$20/2-SQRT($H$18))^(1/3)</f>
        <v>-0.86924121798912324</v>
      </c>
      <c r="C26" s="23">
        <f>A26+B26</f>
        <v>1.0230271836906977</v>
      </c>
      <c r="D26" s="17"/>
      <c r="G26" s="3" t="s">
        <v>43</v>
      </c>
      <c r="H26" s="18">
        <f>0.37464+1.54226*D4-0.26992*D4^2</f>
        <v>0.66224192991999997</v>
      </c>
      <c r="I26" s="23" t="s">
        <v>44</v>
      </c>
      <c r="J26" s="23"/>
      <c r="L26" s="86"/>
      <c r="M26" s="86"/>
    </row>
    <row r="27" spans="1:13" x14ac:dyDescent="0.15">
      <c r="G27" s="19" t="s">
        <v>46</v>
      </c>
      <c r="H27" s="21">
        <f>(1+kappa*(1-SQRT(Tr)))^2</f>
        <v>1.227588530774897</v>
      </c>
      <c r="I27" s="11">
        <f>0.0777960739*I23*B4/C4</f>
        <v>63.548008435482664</v>
      </c>
      <c r="J27" s="12"/>
      <c r="L27" s="86"/>
      <c r="M27" s="86"/>
    </row>
    <row r="28" spans="1:13" x14ac:dyDescent="0.15">
      <c r="A28" t="s">
        <v>70</v>
      </c>
      <c r="I28" s="1" t="s">
        <v>48</v>
      </c>
      <c r="J28" s="16">
        <f>I25*B8/(I23*B7)^2</f>
        <v>8.9290432792915304</v>
      </c>
      <c r="L28" s="86"/>
      <c r="M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0.86693910912142025</v>
      </c>
      <c r="L29" s="86"/>
      <c r="M29" s="86"/>
    </row>
    <row r="30" spans="1:13" x14ac:dyDescent="0.15">
      <c r="A30" s="23" t="e">
        <f>2*SQRT(-D20/3)</f>
        <v>#NUM!</v>
      </c>
      <c r="B30" s="23" t="e">
        <f>3*E20/D20/A30</f>
        <v>#NUM!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  <c r="M30" s="86"/>
    </row>
    <row r="31" spans="1:13" x14ac:dyDescent="0.15">
      <c r="L31" s="86"/>
      <c r="M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 x14ac:dyDescent="0.15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 x14ac:dyDescent="0.15">
      <c r="L36" s="86"/>
      <c r="M36" s="86"/>
    </row>
    <row r="37" spans="1:13" x14ac:dyDescent="0.15">
      <c r="L37" s="86"/>
      <c r="M37" s="86"/>
    </row>
    <row r="38" spans="1:13" x14ac:dyDescent="0.15">
      <c r="L38" s="86"/>
      <c r="M38" s="86"/>
    </row>
    <row r="39" spans="1:13" x14ac:dyDescent="0.15">
      <c r="L39" s="86"/>
      <c r="M39" s="86"/>
    </row>
    <row r="40" spans="1:13" x14ac:dyDescent="0.15">
      <c r="L40" s="86"/>
      <c r="M40" s="86"/>
    </row>
    <row r="41" spans="1:13" x14ac:dyDescent="0.15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88" zoomScaleNormal="188" zoomScalePageLayoutView="115" workbookViewId="0">
      <selection activeCell="A13" sqref="A13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1,3-BUTADIENE</v>
      </c>
      <c r="B4" s="74">
        <f>Props!B4</f>
        <v>425.4</v>
      </c>
      <c r="C4" s="74">
        <f>Props!C4</f>
        <v>4.33</v>
      </c>
      <c r="D4" s="74">
        <f>Props!D4</f>
        <v>0.193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>
        <f>E33-$A$23/3</f>
        <v>0.97570316158058579</v>
      </c>
      <c r="F9" s="6">
        <f>E9*$I$26*$B$7/$B$8</f>
        <v>24175.1207194743</v>
      </c>
      <c r="G9" s="5">
        <f>P*EXP(Z-1-LN(Z-B)-A/B/2.8284*LN((Z+2.414*B)/(Z-0.414*B)))</f>
        <v>9.7622030375551949E-2</v>
      </c>
      <c r="H9" s="29">
        <f>_R*TK*(Z-1-A/B/2.8284*(1+kappa*SQRT(Tr/alpha))*LN((Z+2.4142*B)/(Z-0.4142*B)))</f>
        <v>-160.57667199998343</v>
      </c>
      <c r="I9" s="29">
        <f>H9-(Z-1)*_R*TK</f>
        <v>-100.37608794741379</v>
      </c>
      <c r="J9" s="6">
        <f>_R*LN(Z-B)-A*_R/B/2.8284*kappa*SQRT(Tr/alpha)*LN((Z+2.4142*B)/(Z-0.4142*B))</f>
        <v>-0.33871176823851828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>
        <f>F33-$A$23/3</f>
        <v>1.8308553604150846E-2</v>
      </c>
      <c r="F10" s="28">
        <f>E10*$I$26*$B$7/$B$8</f>
        <v>453.6333497805897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>
        <f>G33-$A$23/3</f>
        <v>3.4234995774917176E-3</v>
      </c>
      <c r="F11" s="8">
        <f>E11*$I$26*$B$7/$B$8</f>
        <v>84.824482309618816</v>
      </c>
      <c r="G11" s="7">
        <f>P*EXP(Z-1-LN(Z-B)-A/B/2.8284*LN((Z+2.414*B)/(Z-0.414*B)))</f>
        <v>0.25885688444989341</v>
      </c>
      <c r="H11" s="30">
        <f>_R*TK*(Z-1-A/B/2.8284*(1+kappa*SQRT(Tr/alpha))*LN((Z+2.4142*B)/(Z-0.4142*B)))</f>
        <v>-21476.802393677834</v>
      </c>
      <c r="I11" s="30">
        <f>H11-(Z-1)*_R*TK</f>
        <v>-19007.572185908797</v>
      </c>
      <c r="J11" s="8">
        <f>_R*LN(Z-B)-A*_R/B/2.8284*kappa*SQRT(Tr/alpha)*LN((Z+2.4142*B)/(Z-0.4142*B))</f>
        <v>-79.969551778647542</v>
      </c>
      <c r="K11" s="7"/>
      <c r="L11" s="8"/>
    </row>
    <row r="12" spans="1:12" ht="14" thickBot="1" x14ac:dyDescent="0.2">
      <c r="A12" s="75">
        <v>0</v>
      </c>
      <c r="B12" s="43"/>
      <c r="C12" s="57">
        <v>3</v>
      </c>
      <c r="D12" s="43"/>
      <c r="E12" s="35" t="e">
        <f>C29-A23/3</f>
        <v>#NUM!</v>
      </c>
      <c r="F12" s="32" t="e">
        <f>E12*$I$26*$B$7/$B$8</f>
        <v>#NUM!</v>
      </c>
      <c r="G12" s="31" t="e">
        <f>P*EXP(Z-1-LN(Z-B)-A/B/2.8284*LN((Z+2.414*B)/(Z-0.414*B)))</f>
        <v>#NUM!</v>
      </c>
      <c r="H12" s="35" t="e">
        <f>_R*TK*(Z-1-A/B/2.8284*(1+kappa*SQRT(Tr/alpha))*LN((Z+2.4142*B)/(Z-0.4142*B)))</f>
        <v>#NUM!</v>
      </c>
      <c r="I12" s="35" t="e">
        <f>H12-(Z-1)*_R*TK</f>
        <v>#NUM!</v>
      </c>
      <c r="J12" s="32" t="e">
        <f>_R*LN(Z-B)-A*_R/B/2.8284*kappa*SQRT(Tr/alpha)*LN((Z+2.4142*B)/(Z-0.4142*B))</f>
        <v>#NUM!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3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 t="e">
        <f>igrflag*CHOOSE(index,H9,H11,H12)</f>
        <v>#NUM!</v>
      </c>
      <c r="E19" s="62" t="e">
        <f>igrflag*CHOOSE(index,I9,I11,I12)</f>
        <v>#NUM!</v>
      </c>
      <c r="F19" s="63" t="e">
        <f>igrflag*CHOOSE(index,J9,J11,J12)</f>
        <v>#NUM!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-1.7776302506480098E-6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-0.99743521476222852</v>
      </c>
      <c r="B23" s="23">
        <f>J31-3*J32^2-2*J32</f>
        <v>2.1266712322494621E-2</v>
      </c>
      <c r="C23" s="23">
        <f>-(J31*J32-J32^2-J32^3)</f>
        <v>-6.1156416083702156E-5</v>
      </c>
      <c r="D23" s="23">
        <f>(3*B23-A23^2)/3</f>
        <v>-0.31035895689342968</v>
      </c>
      <c r="E23" s="23">
        <f>(2*A23^3-9*A23*B23+27*C23)/27</f>
        <v>-6.6496016179648648E-2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0.70051716031969913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2.3094688221709007E-2</v>
      </c>
      <c r="I28" s="11">
        <f>0.4572355289*(B4*I26)^2*H30/C4</f>
        <v>1621695.1450593036</v>
      </c>
      <c r="J28" s="12"/>
    </row>
    <row r="29" spans="1:10" ht="15" x14ac:dyDescent="0.15">
      <c r="A29" s="23" t="e">
        <f>(-$E$23/2+SQRT($H$21))^(1/3)</f>
        <v>#NUM!</v>
      </c>
      <c r="B29" s="23" t="e">
        <f>(-$E$23/2-SQRT($H$21))^(1/3)</f>
        <v>#NUM!</v>
      </c>
      <c r="C29" s="23" t="e">
        <f>A29+B29</f>
        <v>#NUM!</v>
      </c>
      <c r="D29" s="17"/>
      <c r="G29" s="3" t="s">
        <v>43</v>
      </c>
      <c r="H29" s="18">
        <f>0.37464+1.54226*D4-0.26992*D4^2</f>
        <v>0.66224192991999997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1.227588530774897</v>
      </c>
      <c r="I30" s="11">
        <f>0.0777960739*I26*B4/C4</f>
        <v>63.548008435482664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2.6416017167985171E-2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2.5647852377714401E-3</v>
      </c>
    </row>
    <row r="33" spans="1:7" x14ac:dyDescent="0.15">
      <c r="A33" s="23">
        <f>2*SQRT(-D23/3)</f>
        <v>0.64328216400314797</v>
      </c>
      <c r="B33" s="23">
        <f>3*E23/D23/A33</f>
        <v>0.99919692377124047</v>
      </c>
      <c r="C33" s="23">
        <f>ACOS(B33)</f>
        <v>4.0079514477001199E-2</v>
      </c>
      <c r="D33" s="23">
        <f>C33/3</f>
        <v>1.33598381590004E-2</v>
      </c>
      <c r="E33" s="23">
        <f>$A$33*COS($D$33)</f>
        <v>0.64322475665984291</v>
      </c>
      <c r="F33" s="23">
        <f>$A$33*COS($D$33+4*PI()/3)</f>
        <v>-0.31416985131659197</v>
      </c>
      <c r="G33" s="23">
        <f>$A$33*COS($D$33+2*PI()/3)</f>
        <v>-0.3290549053432511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topLeftCell="A8" workbookViewId="0">
      <selection activeCell="C40" sqref="C40:F40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26" zoomScale="145" zoomScaleNormal="145" workbookViewId="0">
      <selection activeCell="D50" sqref="D50:G50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2020-03-03T22:28:23Z</dcterms:modified>
</cp:coreProperties>
</file>