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"/>
    </mc:Choice>
  </mc:AlternateContent>
  <xr:revisionPtr revIDLastSave="0" documentId="10_ncr:8100000_{A5396560-237D-1649-8714-BABC7D8A6DEF}" xr6:coauthVersionLast="34" xr6:coauthVersionMax="34" xr10:uidLastSave="{00000000-0000-0000-0000-000000000000}"/>
  <bookViews>
    <workbookView xWindow="0" yWindow="3260" windowWidth="24980" windowHeight="155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Props!$B$7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Props!$H$12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5.2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H27" i="3" s="1"/>
  <c r="I25" i="3" s="1"/>
  <c r="J28" i="3" s="1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/>
  <c r="A4" i="4"/>
  <c r="L4" i="3"/>
  <c r="H30" i="4" l="1"/>
  <c r="I28" i="4"/>
  <c r="J31" i="4" s="1"/>
  <c r="C20" i="3"/>
  <c r="B20" i="3"/>
  <c r="D20" i="3" s="1"/>
  <c r="A30" i="3" s="1"/>
  <c r="C18" i="2"/>
  <c r="E18" i="2" s="1"/>
  <c r="B18" i="2"/>
  <c r="D18" i="2" s="1"/>
  <c r="A26" i="2" s="1"/>
  <c r="I30" i="4"/>
  <c r="J32" i="4" s="1"/>
  <c r="A23" i="4" s="1"/>
  <c r="B26" i="2" l="1"/>
  <c r="C26" i="2" s="1"/>
  <c r="D26" i="2" s="1"/>
  <c r="E26" i="2" s="1"/>
  <c r="C9" i="2" s="1"/>
  <c r="H16" i="2"/>
  <c r="B22" i="2" s="1"/>
  <c r="B23" i="4"/>
  <c r="D23" i="4" s="1"/>
  <c r="A33" i="4" s="1"/>
  <c r="C23" i="4"/>
  <c r="E20" i="3"/>
  <c r="E23" i="4" l="1"/>
  <c r="D9" i="2"/>
  <c r="E9" i="2"/>
  <c r="H21" i="4"/>
  <c r="B29" i="4" s="1"/>
  <c r="B33" i="4"/>
  <c r="C33" i="4" s="1"/>
  <c r="D33" i="4" s="1"/>
  <c r="F33" i="4" s="1"/>
  <c r="E10" i="4" s="1"/>
  <c r="F10" i="4" s="1"/>
  <c r="F26" i="2"/>
  <c r="C10" i="2" s="1"/>
  <c r="D10" i="2" s="1"/>
  <c r="A22" i="2"/>
  <c r="C22" i="2" s="1"/>
  <c r="C12" i="2" s="1"/>
  <c r="B30" i="3"/>
  <c r="C30" i="3" s="1"/>
  <c r="D30" i="3" s="1"/>
  <c r="H18" i="3"/>
  <c r="A26" i="3" s="1"/>
  <c r="G26" i="2"/>
  <c r="C11" i="2" s="1"/>
  <c r="G33" i="4" l="1"/>
  <c r="E11" i="4" s="1"/>
  <c r="H11" i="4" s="1"/>
  <c r="I11" i="4" s="1"/>
  <c r="E33" i="4"/>
  <c r="E9" i="4" s="1"/>
  <c r="G9" i="4" s="1"/>
  <c r="B26" i="3"/>
  <c r="C26" i="3" s="1"/>
  <c r="C12" i="3" s="1"/>
  <c r="E11" i="2"/>
  <c r="D11" i="2"/>
  <c r="D12" i="2"/>
  <c r="E12" i="2"/>
  <c r="A29" i="4"/>
  <c r="C29" i="4" s="1"/>
  <c r="E12" i="4" s="1"/>
  <c r="C18" i="4" s="1"/>
  <c r="E30" i="3"/>
  <c r="C9" i="3" s="1"/>
  <c r="F30" i="3"/>
  <c r="C10" i="3" s="1"/>
  <c r="G30" i="3"/>
  <c r="C11" i="3" s="1"/>
  <c r="H12" i="2"/>
  <c r="H9" i="4" l="1"/>
  <c r="I9" i="4" s="1"/>
  <c r="J9" i="4"/>
  <c r="F11" i="4"/>
  <c r="F9" i="4"/>
  <c r="J11" i="4"/>
  <c r="G11" i="4"/>
  <c r="E12" i="3"/>
  <c r="K12" i="3"/>
  <c r="D12" i="3"/>
  <c r="I12" i="3"/>
  <c r="J12" i="3" s="1"/>
  <c r="D11" i="3"/>
  <c r="I11" i="3"/>
  <c r="K11" i="3"/>
  <c r="E11" i="3"/>
  <c r="I10" i="3"/>
  <c r="K10" i="3"/>
  <c r="D10" i="3"/>
  <c r="E18" i="4"/>
  <c r="D18" i="4"/>
  <c r="D9" i="3"/>
  <c r="K9" i="3"/>
  <c r="I9" i="3"/>
  <c r="E9" i="3"/>
  <c r="G12" i="4"/>
  <c r="H12" i="4"/>
  <c r="I12" i="4" s="1"/>
  <c r="F12" i="4"/>
  <c r="J12" i="4"/>
  <c r="F19" i="4" s="1"/>
  <c r="E19" i="4" l="1"/>
  <c r="H9" i="3"/>
  <c r="H11" i="3"/>
  <c r="D19" i="4"/>
  <c r="F12" i="3" s="1"/>
  <c r="G12" i="3" s="1"/>
  <c r="H10" i="3"/>
  <c r="H12" i="3"/>
  <c r="E14" i="3"/>
  <c r="L15" i="3"/>
  <c r="J9" i="3"/>
  <c r="J11" i="3"/>
  <c r="J10" i="3"/>
  <c r="F11" i="3" l="1"/>
  <c r="G11" i="3" s="1"/>
  <c r="F10" i="3"/>
  <c r="G10" i="3" s="1"/>
  <c r="F9" i="3"/>
  <c r="G9" i="3" s="1"/>
</calcChain>
</file>

<file path=xl/sharedStrings.xml><?xml version="1.0" encoding="utf-8"?>
<sst xmlns="http://schemas.openxmlformats.org/spreadsheetml/2006/main" count="500" uniqueCount="308">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</sst>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1"/>
  <sheetViews>
    <sheetView showGridLines="0" tabSelected="1" zoomScale="130" zoomScaleNormal="130" zoomScalePageLayoutView="130" workbookViewId="0">
      <selection activeCell="H12" sqref="H12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2" x14ac:dyDescent="0.15">
      <c r="A1" t="s">
        <v>20</v>
      </c>
      <c r="F1" t="s">
        <v>21</v>
      </c>
    </row>
    <row r="2" spans="1:12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2" x14ac:dyDescent="0.15">
      <c r="A4" t="s">
        <v>200</v>
      </c>
      <c r="B4">
        <v>150.9</v>
      </c>
      <c r="C4">
        <v>4.8979999999999997</v>
      </c>
      <c r="D4">
        <v>-4.0000000000000001E-3</v>
      </c>
      <c r="E4" s="91">
        <v>20.8</v>
      </c>
      <c r="I4" s="20"/>
      <c r="J4" s="4">
        <f>CPA*(TK-TREF)+CPB/2*(TK^2-TREF^2)+CPC/3*(TK^3-TREF^3)+CPD/4*(TK^4-TREF^4)</f>
        <v>-3993.6000000000004</v>
      </c>
      <c r="K4" s="20">
        <f>J4-_R*(TK-TREF)</f>
        <v>-2397.2213760000004</v>
      </c>
      <c r="L4" s="21">
        <f>CPA*LN(TK/TREF)+CPB*(TK-TREF)+CPC/2*(TK^2-TREF^2)+CPD/3*(TK^3-TREF^3)-_R*LN(P/PREF)</f>
        <v>-21.500011361781421</v>
      </c>
    </row>
    <row r="5" spans="1:12" ht="14" thickBot="1" x14ac:dyDescent="0.2"/>
    <row r="6" spans="1:12" ht="14" thickBot="1" x14ac:dyDescent="0.2">
      <c r="A6" s="9" t="s">
        <v>29</v>
      </c>
      <c r="B6" s="10"/>
      <c r="C6" s="31" t="s">
        <v>30</v>
      </c>
      <c r="D6" s="32"/>
      <c r="E6" t="s">
        <v>51</v>
      </c>
    </row>
    <row r="7" spans="1:12" ht="16" thickTop="1" x14ac:dyDescent="0.15">
      <c r="A7" s="5" t="s">
        <v>32</v>
      </c>
      <c r="B7" s="48">
        <v>106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2" ht="16" thickBot="1" x14ac:dyDescent="0.2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2" x14ac:dyDescent="0.15">
      <c r="A9" s="36" t="s">
        <v>42</v>
      </c>
      <c r="B9" s="44"/>
      <c r="C9" s="29">
        <f>E30-$A$20/3</f>
        <v>0.98075049613438914</v>
      </c>
      <c r="D9" s="6">
        <f>C9*$I$23*$B$7/$B$8</f>
        <v>8643.6878914412155</v>
      </c>
      <c r="E9" s="5">
        <f>P*EXP(Z-1-LN(Z-B)-A/B/2.8284*LN((Z+2.4142*B)/(Z-0.4142*B)))</f>
        <v>9.8106747466486718E-2</v>
      </c>
      <c r="F9" s="29">
        <f>I9+$J$4-'Ref State'!$D$19+'Ref State'!$D$18</f>
        <v>-4025.9637296268334</v>
      </c>
      <c r="G9" s="29">
        <f>F9-Z*_R*TK</f>
        <v>-4890.3325187709552</v>
      </c>
      <c r="H9" s="29">
        <f>K9+$L$4-'Ref State'!$F$19+'Ref State'!$F$18</f>
        <v>-21.710015909784474</v>
      </c>
      <c r="I9" s="29">
        <f>_R*TK*(Z-1-A/B/2.8284*(1+kappa*SQRT(Tr/alpha))*LN((Z+2.4142*B)/(Z-0.4142*B)))</f>
        <v>-41.561347514303222</v>
      </c>
      <c r="J9" s="29">
        <f>I9-(Z-1)*_R*TK</f>
        <v>-24.596104658424814</v>
      </c>
      <c r="K9" s="6">
        <f>_R*LN(Z-B)-A*_R/B/2.8284*kappa*SQRT(Tr/alpha)*LN((Z+2.4142*B)/(Z-0.4142*B))</f>
        <v>-0.23316503147798556</v>
      </c>
    </row>
    <row r="10" spans="1:12" x14ac:dyDescent="0.15">
      <c r="A10" s="38" t="s">
        <v>45</v>
      </c>
      <c r="B10" s="45"/>
      <c r="C10" s="17">
        <f>F30-$A$20/3</f>
        <v>1.3823479095775471E-2</v>
      </c>
      <c r="D10" s="28">
        <f>C10*$I$23*$B$7/$B$8</f>
        <v>121.83102567747508</v>
      </c>
      <c r="E10" s="54"/>
      <c r="F10" s="17">
        <f>I10+$J$4-'Ref State'!$D$19+'Ref State'!$D$18</f>
        <v>-6377.0282562086131</v>
      </c>
      <c r="G10" s="17">
        <f>F10-Z*_R*TK</f>
        <v>-6389.2113587763606</v>
      </c>
      <c r="H10" s="17">
        <f>K10+$L$4-'Ref State'!$F$19+'Ref State'!$F$18</f>
        <v>-61.802803053848244</v>
      </c>
      <c r="I10" s="17">
        <f>_R*TK*(Z-1-A/B/2.8284*(1+kappa*SQRT(Tr/alpha))*LN((Z+2.4142*B)/(Z-0.4142*B)))</f>
        <v>-2392.625874096083</v>
      </c>
      <c r="J10" s="17">
        <f>I10-(Z-1)*_R*TK</f>
        <v>-1523.4749446638302</v>
      </c>
      <c r="K10" s="28">
        <f>_R*LN(Z-B)-A*_R/B/2.8284*kappa*SQRT(Tr/alpha)*LN((Z+2.4142*B)/(Z-0.4142*B))</f>
        <v>-40.325952175541751</v>
      </c>
    </row>
    <row r="11" spans="1:12" ht="14" thickBot="1" x14ac:dyDescent="0.2">
      <c r="A11" s="7"/>
      <c r="B11" s="8"/>
      <c r="C11" s="30">
        <f>G30-$A$20/3</f>
        <v>3.1649117334185961E-3</v>
      </c>
      <c r="D11" s="8">
        <f>C11*$I$23*$B$7/$B$8</f>
        <v>27.893444189379206</v>
      </c>
      <c r="E11" s="7">
        <f>P*EXP(Z-1-LN(Z-B)-A/B/2.8284*LN((Z+2.4142*B)/(Z-0.4142*B)))</f>
        <v>0.45591261973431713</v>
      </c>
      <c r="F11" s="30">
        <f>I11+$J$4-'Ref State'!$D$19+'Ref State'!$D$18</f>
        <v>-9979.0313590052137</v>
      </c>
      <c r="G11" s="30">
        <f>F11-Z*_R*TK</f>
        <v>-9981.8207034241514</v>
      </c>
      <c r="H11" s="30">
        <f>K11+$L$4-'Ref State'!$F$19+'Ref State'!$F$18</f>
        <v>-90.644097502194697</v>
      </c>
      <c r="I11" s="30">
        <f>_R*TK*(Z-1-A/B/2.8284*(1+kappa*SQRT(Tr/alpha))*LN((Z+2.4142*B)/(Z-0.4142*B)))</f>
        <v>-5994.6289768926836</v>
      </c>
      <c r="J11" s="30">
        <f>I11-(Z-1)*_R*TK</f>
        <v>-5116.0842893116214</v>
      </c>
      <c r="K11" s="8">
        <f>_R*LN(Z-B)-A*_R/B/2.8284*kappa*SQRT(Tr/alpha)*LN((Z+2.4142*B)/(Z-0.4142*B))</f>
        <v>-69.167246623888218</v>
      </c>
    </row>
    <row r="12" spans="1:12" ht="14" thickBot="1" x14ac:dyDescent="0.2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2" x14ac:dyDescent="0.15">
      <c r="A13" s="17"/>
      <c r="B13" s="17"/>
      <c r="E13" s="88" t="s">
        <v>96</v>
      </c>
      <c r="F13" s="17"/>
      <c r="G13" s="17"/>
      <c r="H13" s="17"/>
      <c r="I13" s="17"/>
    </row>
    <row r="14" spans="1:12" x14ac:dyDescent="0.15">
      <c r="C14" s="17"/>
      <c r="D14" s="17"/>
      <c r="E14" s="89">
        <f>E9/E11</f>
        <v>0.21518761100242934</v>
      </c>
      <c r="F14" s="17"/>
      <c r="G14" s="17"/>
    </row>
    <row r="15" spans="1:12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>
        <f>E9/E11</f>
        <v>0.21518761100242934</v>
      </c>
    </row>
    <row r="16" spans="1:12" x14ac:dyDescent="0.15">
      <c r="A16" s="83" t="s">
        <v>98</v>
      </c>
      <c r="B16" s="20"/>
      <c r="C16" s="20"/>
      <c r="D16" s="20"/>
      <c r="E16" s="20"/>
      <c r="F16" s="20"/>
      <c r="G16" s="20"/>
      <c r="H16" s="21"/>
    </row>
    <row r="17" spans="1:13" x14ac:dyDescent="0.15">
      <c r="A17" s="60"/>
      <c r="B17" s="60"/>
      <c r="C17" s="87"/>
      <c r="D17" s="17"/>
      <c r="E17" s="17"/>
      <c r="F17" s="17"/>
      <c r="G17" s="17"/>
      <c r="H17" s="17"/>
    </row>
    <row r="18" spans="1:13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-9.3987669452615108E-7</v>
      </c>
      <c r="I18" s="16"/>
      <c r="L18" s="86"/>
      <c r="M18" s="86"/>
    </row>
    <row r="19" spans="1:13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 x14ac:dyDescent="0.15">
      <c r="A20" s="23">
        <f>-(1-J29)</f>
        <v>-0.99773888696358348</v>
      </c>
      <c r="B20" s="23">
        <f>J28-3*J29^2-2*J29</f>
        <v>1.670512282544407E-2</v>
      </c>
      <c r="C20" s="23">
        <f>-(J28*J29-J29^2-J29^3)</f>
        <v>-4.2907923637473051E-5</v>
      </c>
      <c r="D20" s="23">
        <f>(3*B20-A20^2)/3</f>
        <v>-0.31512250602766606</v>
      </c>
      <c r="E20" s="23">
        <f>(2*A20^3-9*A20*B20+27*C20)/27</f>
        <v>-6.8059864166747336E-2</v>
      </c>
      <c r="F20" s="4" t="s">
        <v>63</v>
      </c>
      <c r="G20" s="20"/>
      <c r="H20" s="20"/>
      <c r="I20" s="21"/>
      <c r="L20" s="86"/>
      <c r="M20" s="86"/>
    </row>
    <row r="21" spans="1:13" x14ac:dyDescent="0.15">
      <c r="L21" s="86"/>
      <c r="M21" s="86"/>
    </row>
    <row r="22" spans="1:13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 ht="15" x14ac:dyDescent="0.15">
      <c r="G23" s="23" t="s">
        <v>31</v>
      </c>
      <c r="H23" s="11"/>
      <c r="I23" s="90">
        <v>8.3144720000000003</v>
      </c>
      <c r="J23" s="23"/>
      <c r="M23" s="86"/>
    </row>
    <row r="24" spans="1:13" ht="16" x14ac:dyDescent="0.2">
      <c r="A24" t="s">
        <v>64</v>
      </c>
      <c r="G24" s="1" t="s">
        <v>36</v>
      </c>
      <c r="H24" s="16">
        <f>TK/B4</f>
        <v>0.70245195493704438</v>
      </c>
      <c r="I24" s="23" t="s">
        <v>37</v>
      </c>
      <c r="J24" s="23"/>
      <c r="L24" s="17"/>
      <c r="M24" s="86"/>
    </row>
    <row r="25" spans="1:13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2.0416496529195593E-2</v>
      </c>
      <c r="I25" s="11">
        <f>0.4572355289*(B4*I23)^2*H27/C4</f>
        <v>165002.50084384592</v>
      </c>
      <c r="J25" s="12"/>
      <c r="L25" s="86"/>
      <c r="M25" s="86"/>
    </row>
    <row r="26" spans="1:13" ht="15" x14ac:dyDescent="0.15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0.36846664127999995</v>
      </c>
      <c r="I26" s="23" t="s">
        <v>44</v>
      </c>
      <c r="J26" s="23"/>
      <c r="L26" s="86"/>
      <c r="M26" s="86"/>
    </row>
    <row r="27" spans="1:13" x14ac:dyDescent="0.15">
      <c r="G27" s="19" t="s">
        <v>46</v>
      </c>
      <c r="H27" s="21">
        <f>(1+kappa*(1-SQRT(Tr)))^2</f>
        <v>1.1228493923184124</v>
      </c>
      <c r="I27" s="11">
        <f>0.0777960739*I23*B4/C4</f>
        <v>19.927958691927007</v>
      </c>
      <c r="J27" s="12"/>
      <c r="L27" s="86"/>
      <c r="M27" s="86"/>
    </row>
    <row r="28" spans="1:13" x14ac:dyDescent="0.15">
      <c r="A28" t="s">
        <v>70</v>
      </c>
      <c r="I28" s="1" t="s">
        <v>48</v>
      </c>
      <c r="J28" s="16">
        <f>I25*B8/(I23*B7)^2</f>
        <v>2.1242686794767391E-2</v>
      </c>
      <c r="L28" s="86"/>
      <c r="M28" s="86"/>
    </row>
    <row r="29" spans="1:13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2.2611130364164817E-3</v>
      </c>
      <c r="L29" s="86"/>
      <c r="M29" s="86"/>
    </row>
    <row r="30" spans="1:13" x14ac:dyDescent="0.15">
      <c r="A30" s="23">
        <f>2*SQRT(-D20/3)</f>
        <v>0.64820007819362491</v>
      </c>
      <c r="B30" s="23">
        <f>3*E20/D20/A30</f>
        <v>0.99959444061139313</v>
      </c>
      <c r="C30" s="23">
        <f>ACOS(B30)</f>
        <v>2.8481109691919304E-2</v>
      </c>
      <c r="D30" s="23">
        <f>C30/3</f>
        <v>9.4937032306397686E-3</v>
      </c>
      <c r="E30" s="23">
        <f>$A$30*COS($D$30)</f>
        <v>0.64817086714652805</v>
      </c>
      <c r="F30" s="23">
        <f>$A$30*COS($D$30+4*PI()/3)</f>
        <v>-0.31875614989208567</v>
      </c>
      <c r="G30" s="23">
        <f>$A$30*COS($D$30+2*PI()/3)</f>
        <v>-0.32941471725444255</v>
      </c>
      <c r="L30" s="86"/>
      <c r="M30" s="86"/>
    </row>
    <row r="31" spans="1:13" x14ac:dyDescent="0.15">
      <c r="L31" s="86"/>
      <c r="M31" s="86"/>
    </row>
    <row r="32" spans="1:13" x14ac:dyDescent="0.15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1</v>
      </c>
      <c r="L33" s="86"/>
      <c r="M33" s="86"/>
    </row>
    <row r="34" spans="1:13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1</v>
      </c>
      <c r="L34" s="86"/>
      <c r="M34" s="86"/>
    </row>
    <row r="35" spans="1:13" x14ac:dyDescent="0.15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 x14ac:dyDescent="0.15">
      <c r="L36" s="86"/>
      <c r="M36" s="86"/>
    </row>
    <row r="37" spans="1:13" x14ac:dyDescent="0.15">
      <c r="L37" s="86"/>
      <c r="M37" s="86"/>
    </row>
    <row r="38" spans="1:13" x14ac:dyDescent="0.15">
      <c r="L38" s="86"/>
      <c r="M38" s="86"/>
    </row>
    <row r="39" spans="1:13" x14ac:dyDescent="0.15">
      <c r="L39" s="86"/>
      <c r="M39" s="86"/>
    </row>
    <row r="40" spans="1:13" x14ac:dyDescent="0.15">
      <c r="L40" s="86"/>
      <c r="M40" s="86"/>
    </row>
    <row r="41" spans="1:13" x14ac:dyDescent="0.15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88" zoomScaleNormal="188" zoomScalePageLayoutView="115" workbookViewId="0">
      <selection activeCell="A16" sqref="A16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ARGON</v>
      </c>
      <c r="B4" s="74">
        <f>Props!B4</f>
        <v>150.9</v>
      </c>
      <c r="C4" s="74">
        <f>Props!C4</f>
        <v>4.8979999999999997</v>
      </c>
      <c r="D4" s="74">
        <f>Props!D4</f>
        <v>-4.0000000000000001E-3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4" thickBot="1" x14ac:dyDescent="0.2">
      <c r="A12" s="75">
        <v>1</v>
      </c>
      <c r="B12" s="43"/>
      <c r="C12" s="57">
        <v>3</v>
      </c>
      <c r="D12" s="43"/>
      <c r="E12" s="35">
        <f>C29-A23/3</f>
        <v>0.99907471012926297</v>
      </c>
      <c r="F12" s="32">
        <f>E12*$I$26*$B$7/$B$8</f>
        <v>24754.200535768057</v>
      </c>
      <c r="G12" s="31">
        <f>P*EXP(Z-1-LN(Z-B)-A/B/2.8284*LN((Z+2.414*B)/(Z-0.414*B)))</f>
        <v>9.9907409600067859E-2</v>
      </c>
      <c r="H12" s="35">
        <f>_R*TK*(Z-1-A/B/2.8284*(1+kappa*SQRT(Tr/alpha))*LN((Z+2.4142*B)/(Z-0.4142*B)))</f>
        <v>-9.1976178874701002</v>
      </c>
      <c r="I12" s="35">
        <f>H12-(Z-1)*_R*TK</f>
        <v>-6.9050154642763477</v>
      </c>
      <c r="J12" s="32">
        <f>_R*LN(Z-B)-A*_R/B/2.8284*kappa*SQRT(Tr/alpha)*LN((Z+2.4142*B)/(Z-0.4142*B))</f>
        <v>-2.3160483474932332E-2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3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>
        <f>IF(igrflag=0,1,CHOOSE(index,E9,E11,E12))</f>
        <v>0.99907471012926297</v>
      </c>
      <c r="D18" s="69">
        <f>uhflag*$C$18*_R*TK</f>
        <v>0</v>
      </c>
      <c r="E18" s="69">
        <f>(uhflag-1)*$C$18*_R*TK</f>
        <v>-2475.4200535768059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>
        <f>igrflag*CHOOSE(index,H9,H11,H12)</f>
        <v>-9.1976178874701002</v>
      </c>
      <c r="E19" s="62">
        <f>igrflag*CHOOSE(index,I9,I11,I12)</f>
        <v>-6.9050154642763477</v>
      </c>
      <c r="F19" s="63">
        <f>igrflag*CHOOSE(index,J9,J11,J12)</f>
        <v>-2.3160483474932332E-2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2.7402139164949685E-8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-0.99919571147026798</v>
      </c>
      <c r="B23" s="23">
        <f>J31-3*J32^2-2*J32</f>
        <v>1.2163582125595401E-4</v>
      </c>
      <c r="C23" s="23">
        <f>-(J31*J32-J32^2-J32^3)</f>
        <v>-7.4575089129027699E-7</v>
      </c>
      <c r="D23" s="23">
        <f>(3*B23-A23^2)/3</f>
        <v>-0.33267572078560242</v>
      </c>
      <c r="E23" s="23">
        <f>(2*A23^3-9*A23*B23+27*C23)/27</f>
        <v>-7.3855720089507762E-2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1.9748177601060304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2.0416496529195593E-2</v>
      </c>
      <c r="I28" s="11">
        <f>0.4572355289*(B4*I26)^2*H30/C4</f>
        <v>106337.94403508579</v>
      </c>
      <c r="J28" s="12"/>
    </row>
    <row r="29" spans="1:10" ht="15" x14ac:dyDescent="0.15">
      <c r="A29" s="23">
        <f>(-$E$23/2+SQRT($H$21))^(1/3)</f>
        <v>0.33350232441314176</v>
      </c>
      <c r="B29" s="23">
        <f>(-$E$23/2-SQRT($H$21))^(1/3)</f>
        <v>0.33250714855936531</v>
      </c>
      <c r="C29" s="23">
        <f>A29+B29</f>
        <v>0.66600947297250701</v>
      </c>
      <c r="D29" s="17"/>
      <c r="G29" s="3" t="s">
        <v>43</v>
      </c>
      <c r="H29" s="18">
        <f>0.37464+1.54226*D4-0.26992*D4^2</f>
        <v>0.36846664127999995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0.72363446147512578</v>
      </c>
      <c r="I30" s="11">
        <f>0.0777960739*I26*B4/C4</f>
        <v>19.927958691927007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1.732153520837204E-3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8.0428852973203721E-4</v>
      </c>
    </row>
    <row r="33" spans="1:7" x14ac:dyDescent="0.15">
      <c r="A33" s="23">
        <f>2*SQRT(-D23/3)</f>
        <v>0.66600872945790779</v>
      </c>
      <c r="B33" s="23">
        <f>3*E23/D23/A33</f>
        <v>1.0000100473778459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topLeftCell="A35" workbookViewId="0">
      <selection activeCell="C76" sqref="C76:F76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73" zoomScale="145" zoomScaleNormal="145" workbookViewId="0">
      <selection activeCell="D117" sqref="D117:G117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2020-02-25T19:42:13Z</dcterms:modified>
</cp:coreProperties>
</file>