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C1BF6CD3-7ED8-8548-8EFF-2C309CC20060}" xr6:coauthVersionLast="34" xr6:coauthVersionMax="34" xr10:uidLastSave="{00000000-0000-0000-0000-000000000000}"/>
  <bookViews>
    <workbookView xWindow="48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H9" i="4"/>
  <c r="I9" i="4" s="1"/>
  <c r="J9" i="4"/>
  <c r="F9" i="4"/>
  <c r="J11" i="4"/>
  <c r="G11" i="4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I12" i="3" l="1"/>
  <c r="J12" i="3" s="1"/>
  <c r="D12" i="3"/>
  <c r="E12" i="3"/>
  <c r="F11" i="4"/>
  <c r="E19" i="4"/>
  <c r="H9" i="3"/>
  <c r="H11" i="3"/>
  <c r="D19" i="4"/>
  <c r="H10" i="3"/>
  <c r="H12" i="3"/>
  <c r="E14" i="3"/>
  <c r="L15" i="3"/>
  <c r="J9" i="3"/>
  <c r="J11" i="3"/>
  <c r="J10" i="3"/>
  <c r="N14" i="3" l="1"/>
  <c r="M17" i="3"/>
  <c r="F12" i="3"/>
  <c r="G12" i="3" s="1"/>
  <c r="F11" i="3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<sst xmlns="http://schemas.openxmlformats.org/spreadsheetml/2006/main" count="510" uniqueCount="318">
  <si>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</si>
  <si>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</si>
  <si>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</si>
  <si>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</si>
  <si>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</si>
  <si>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</si>
  <si>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</si>
  <si>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</si>
  <si>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</si>
  <si>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</si>
  <si>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</si>
  <si>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</si>
  <si>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</si>
  <si>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</si>
  <si>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</si>
  <si>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</si>
  <si>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</si>
  <si>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</si>
  <si>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</si>
  <si>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</si>
  <si>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</si>
  <si>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</si>
  <si>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</si>
  <si>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</si>
  <si>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</si>
  <si>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</si>
  <si>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</si>
  <si>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</si>
  <si>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</si>
  <si>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</si>
  <si>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</si>
  <si>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</si>
  <si>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</si>
  <si>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</si>
  <si>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</si>
  <si>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</si>
  <si>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</si>
  <si>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</si>
  <si>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</si>
  <si>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</si>
  <si>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</si>
  <si>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</si>
  <si>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</si>
  <si>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</si>
  <si>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</si>
  <si>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</si>
  <si>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</si>
  <si>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</si>
  <si>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</si>
  <si>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</si>
  <si>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</si>
  <si>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</si>
  <si>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</si>
  <si>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</si>
  <si>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</si>
  <si>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</si>
  <si>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</si>
  <si>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</si>
  <si>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</si>
  <si>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</si>
  <si>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</si>
  <si>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</si>
  <si>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</si>
  <si>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</si>
  <si>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</si>
  <si>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</si>
  <si>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</si>
  <si>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</si>
  <si>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</si>
  <si>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</si>
  <si>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</si>
  <si>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</si>
  <si>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</si>
  <si>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</si>
  <si>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</si>
  <si>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</si>
  <si>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</si>
  <si>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</si>
  <si>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</si>
  <si>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</si>
  <si>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</si>
  <si>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</si>
  <si>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</si>
  <si>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</si>
  <si>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</si>
  <si>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</si>
  <si>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</si>
  <si>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</si>
  <si>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</si>
  <si>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</si>
  <si>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</si>
  <si>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</si>
  <si>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</si>
  <si>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</si>
  <si>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</si>
  <si>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</si>
  <si>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</si>
  <si>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</si>
  <si>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</si>
  <si>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</si>
  <si>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</si>
  <si>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</si>
  <si>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</si>
  <si>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</si>
  <si>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</si>
  <si>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</si>
  <si>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</si>
  <si>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</si>
  <si>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</si>
  <si>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</si>
  <si>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</si>
  <si>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</si>
  <si>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</si>
  <si>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</si>
  <si>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</si>
  <si>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</si>
  <si>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</si>
  <si>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</si>
  <si>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</si>
  <si>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</si>
  <si>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</si>
  <si>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</si>
  <si>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</si>
  <si>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</si>
  <si>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</si>
  <si>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</si>
  <si>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</si>
  <si>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</si>
  <si>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</si>
  <si>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</si>
  <si>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</si>
  <si>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</si>
  <si>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</si>
  <si>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</si>
  <si>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</si>
  <si>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</si>
  <si>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</si>
  <si>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</si>
  <si>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</si>
  <si>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</si>
  <si>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</si>
  <si>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</si>
  <si>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</si>
  <si>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</si>
  <si>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</si>
  <si>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</si>
  <si>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</si>
  <si>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</si>
  <si>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</si>
  <si>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</si>
  <si>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</si>
  <si>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</si>
  <si>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</si>
  <si>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</si>
  <si>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</si>
  <si>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</si>
  <si>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</si>
  <si>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</si>
  <si>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</si>
  <si>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</si>
  <si>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</si>
  <si>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</si>
  <si>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</si>
  <si>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</si>
  <si>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</si>
  <si>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</si>
  <si>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</si>
  <si>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</si>
  <si>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</si>
  <si>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</si>
  <si>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</si>
  <si>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</si>
  <si>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</si>
  <si>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</si>
  <si>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</si>
  <si>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</si>
  <si>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</si>
  <si>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</si>
  <si>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</si>
  <si>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</si>
  <si>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</si>
  <si>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</si>
  <si>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</si>
  <si>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</si>
  <si>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</si>
  <si>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</si>
  <si>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</si>
  <si>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</si>
  <si>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</si>
  <si>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</si>
  <si>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</si>
  <si>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</si>
  <si>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</si>
  <si>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</si>
  <si>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</si>
  <si>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</si>
  <si>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</si>
  <si>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</si>
  <si>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</si>
  <si>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</si>
  <si>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</si>
  <si>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</si>
  <si>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</si>
  <si>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</si>
  <si>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</si>
  <si>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</si>
  <si>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</si>
  <si>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</si>
  <si>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</si>
  <si>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</si>
  <si>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</si>
  <si>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</si>
  <si>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</si>
  <si>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</si>
  <si>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</si>
  <si>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</si>
  <si>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</si>
  <si>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</si>
  <si>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</si>
  <si>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</si>
  <si>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</si>
  <si>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</si>
  <si>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</si>
  <si>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</si>
  <si>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</si>
  <si>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</si>
  <si>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</si>
  <si>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</si>
  <si>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</si>
  <si>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</si>
  <si>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</si>
  <si>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</si>
  <si>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</si>
  <si>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</si>
  <si>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</si>
  <si>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</si>
  <si>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</si>
  <si>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</si>
  <si>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</si>
  <si>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</si>
  <si>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</si>
  <si>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</si>
  <si>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</si>
  <si>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</si>
  <si>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</si>
  <si>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</si>
  <si>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</si>
  <si>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</si>
  <si>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</si>
  <si>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</si>
  <si>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</si>
  <si>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</si>
  <si>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</si>
  <si>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</si>
  <si>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</si>
  <si>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</si>
  <si>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</si>
  <si>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</si>
  <si>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</si>
  <si>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</si>
  <si>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</si>
  <si>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</si>
  <si>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</si>
  <si>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</si>
  <si>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</si>
  <si>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</si>
  <si>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</si>
  <si>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</si>
  <si>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</si>
  <si>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</si>
  <si>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</si>
  <si>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</si>
  <si>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</si>
  <si>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</si>
  <si>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</si>
  <si>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</si>
  <si>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</si>
  <si>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</si>
  <si>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</si>
  <si>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</si>
  <si>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</si>
  <si>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</si>
  <si>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</si>
  <si>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</si>
  <si>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</si>
  <si>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</si>
  <si>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</si>
  <si>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</si>
  <si>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</si>
  <si>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</si>
  <si>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</si>
  <si>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</si>
  <si>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</si>
  <si>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</si>
  <si>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</si>
  <si>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</si>
  <si>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</si>
  <si>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</si>
  <si>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</si>
  <si>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</si>
  <si>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</si>
  <si>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</si>
  <si>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</si>
  <si>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</si>
  <si>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</si>
  <si>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</si>
  <si>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</si>
  <si>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</si>
  <si>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</si>
  <si>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</si>
  <si>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</si>
  <si>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</si>
  <si>
    <t>PP 7.5</t>
  </si>
  <si>
    <t xml:space="preserve">Moles = </t>
  </si>
  <si>
    <t>Moles</t>
  </si>
  <si>
    <t>Final volume 7.5 pp</t>
  </si>
  <si>
    <t>m^3</t>
  </si>
  <si>
    <t>15.9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</si>
</sst>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30" zoomScaleNormal="130" zoomScalePageLayoutView="130" workbookViewId="0">
      <selection activeCell="B7" sqref="B7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135</v>
      </c>
      <c r="B4">
        <v>369.8</v>
      </c>
      <c r="C4">
        <v>4.2489999999999997</v>
      </c>
      <c r="D4">
        <v>0.152</v>
      </c>
      <c r="E4">
        <v>-4.2240000000000002</v>
      </c>
      <c r="F4" s="91">
        <v>0.30630000000000002</v>
      </c>
      <c r="G4" s="91">
        <v>-1.5860000000000001E-4</v>
      </c>
      <c r="H4" s="91">
        <v>3.215E-8</v>
      </c>
      <c r="I4" s="20"/>
      <c r="J4" s="4">
        <f>CPA*(TK-TREF)+CPB/2*(TK^2-TREF^2)+CPC/3*(TK^3-TREF^3)+CPD/4*(TK^4-TREF^4)</f>
        <v>-4461.0407435786092</v>
      </c>
      <c r="K4" s="20">
        <f>J4-_R*(TK-TREF)</f>
        <v>-3900.7202216318183</v>
      </c>
      <c r="L4" s="21">
        <f>CPA*LN(TK/TREF)+CPB*(TK-TREF)+CPC/2*(TK^2-TREF^2)+CPD/3*(TK^3-TREF^3)-_R*LN(P/PREF)</f>
        <v>-16.886185836444149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 x14ac:dyDescent="0.15">
      <c r="A7" s="5" t="s">
        <v>32</v>
      </c>
      <c r="B7" s="48">
        <v>230.60900728912301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332.82</v>
      </c>
      <c r="P7">
        <f>N7*C4</f>
        <v>3.2717299999999998</v>
      </c>
    </row>
    <row r="8" spans="1:16" ht="16" thickBot="1" x14ac:dyDescent="0.2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332.82</v>
      </c>
      <c r="P8">
        <f>N8*C4</f>
        <v>2.1244999999999998</v>
      </c>
    </row>
    <row r="9" spans="1:16" x14ac:dyDescent="0.15">
      <c r="A9" s="36" t="s">
        <v>42</v>
      </c>
      <c r="B9" s="44"/>
      <c r="C9" s="29">
        <f>E30-$A$20/3</f>
        <v>0.96693014254810938</v>
      </c>
      <c r="D9" s="6">
        <f>C9*$I$23*$B$7/$B$8</f>
        <v>18539.842495006931</v>
      </c>
      <c r="E9" s="5">
        <f>P*EXP(Z-1-LN(Z-B)-A/B/2.8284*LN((Z+2.4142*B)/(Z-0.4142*B)))</f>
        <v>9.6790190308548255E-2</v>
      </c>
      <c r="F9" s="29">
        <f>I9+$J$4-'Ref State'!$D$19+'Ref State'!$D$18</f>
        <v>-4623.2500552379133</v>
      </c>
      <c r="G9" s="29">
        <f>F9-Z*_R*TK</f>
        <v>-6477.2343047386066</v>
      </c>
      <c r="H9" s="29">
        <f>K9+$L$4-'Ref State'!$F$19+'Ref State'!$F$18</f>
        <v>-17.318325425969075</v>
      </c>
      <c r="I9" s="29">
        <f>_R*TK*(Z-1-A/B/2.8284*(1+kappa*SQRT(Tr/alpha))*LN((Z+2.4142*B)/(Z-0.4142*B)))</f>
        <v>-162.2093116593044</v>
      </c>
      <c r="J9" s="29">
        <f>I9-(Z-1)*_R*TK</f>
        <v>-98.801427106788424</v>
      </c>
      <c r="K9" s="6">
        <f>_R*LN(Z-B)-A*_R/B/2.8284*kappa*SQRT(Tr/alpha)*LN((Z+2.4142*B)/(Z-0.4142*B))</f>
        <v>-0.43213958952492681</v>
      </c>
      <c r="M9">
        <v>1.1000000000000001</v>
      </c>
      <c r="N9">
        <v>2</v>
      </c>
      <c r="O9">
        <f>M9*Tc</f>
        <v>406.78000000000003</v>
      </c>
      <c r="P9">
        <f>N9*C4</f>
        <v>8.4979999999999993</v>
      </c>
    </row>
    <row r="10" spans="1:16" x14ac:dyDescent="0.15">
      <c r="A10" s="38" t="s">
        <v>45</v>
      </c>
      <c r="B10" s="45"/>
      <c r="C10" s="17">
        <f>F30-$A$20/3</f>
        <v>2.6436759917243757E-2</v>
      </c>
      <c r="D10" s="28">
        <f>C10*$I$23*$B$7/$B$8</f>
        <v>506.89635515176354</v>
      </c>
      <c r="E10" s="54"/>
      <c r="F10" s="17">
        <f>I10+$J$4-'Ref State'!$D$19+'Ref State'!$D$18</f>
        <v>-9612.0614162061356</v>
      </c>
      <c r="G10" s="17">
        <f>F10-Z*_R*TK</f>
        <v>-9662.7510517213123</v>
      </c>
      <c r="H10" s="17">
        <f>K10+$L$4-'Ref State'!$F$19+'Ref State'!$F$18</f>
        <v>-52.30137366646666</v>
      </c>
      <c r="I10" s="17">
        <f>_R*TK*(Z-1-A/B/2.8284*(1+kappa*SQRT(Tr/alpha))*LN((Z+2.4142*B)/(Z-0.4142*B)))</f>
        <v>-5151.0206726275273</v>
      </c>
      <c r="J10" s="17">
        <f>I10-(Z-1)*_R*TK</f>
        <v>-3284.3181740894943</v>
      </c>
      <c r="K10" s="28">
        <f>_R*LN(Z-B)-A*_R/B/2.8284*kappa*SQRT(Tr/alpha)*LN((Z+2.4142*B)/(Z-0.4142*B))</f>
        <v>-35.415187830022511</v>
      </c>
    </row>
    <row r="11" spans="1:16" ht="14" thickBot="1" x14ac:dyDescent="0.2">
      <c r="A11" s="7"/>
      <c r="B11" s="8"/>
      <c r="C11" s="30">
        <f>G30-$A$20/3</f>
        <v>3.6970600925624875E-3</v>
      </c>
      <c r="D11" s="8">
        <f>C11*$I$23*$B$7/$B$8</f>
        <v>70.887139406013418</v>
      </c>
      <c r="E11" s="7">
        <f>P*EXP(Z-1-LN(Z-B)-A/B/2.8284*LN((Z+2.4142*B)/(Z-0.4142*B)))</f>
        <v>9.6790230081025067E-2</v>
      </c>
      <c r="F11" s="30">
        <f>I11+$J$4-'Ref State'!$D$19+'Ref State'!$D$18</f>
        <v>-23328.387274671019</v>
      </c>
      <c r="G11" s="30">
        <f>F11-Z*_R*TK</f>
        <v>-23335.475988611619</v>
      </c>
      <c r="H11" s="30">
        <f>K11+$L$4-'Ref State'!$F$19+'Ref State'!$F$18</f>
        <v>-98.430239601400814</v>
      </c>
      <c r="I11" s="30">
        <f>_R*TK*(Z-1-A/B/2.8284*(1+kappa*SQRT(Tr/alpha))*LN((Z+2.4142*B)/(Z-0.4142*B)))</f>
        <v>-18867.346531092411</v>
      </c>
      <c r="J11" s="30">
        <f>I11-(Z-1)*_R*TK</f>
        <v>-16957.043110979805</v>
      </c>
      <c r="K11" s="8">
        <f>_R*LN(Z-B)-A*_R/B/2.8284*kappa*SQRT(Tr/alpha)*LN((Z+2.4142*B)/(Z-0.4142*B))</f>
        <v>-81.544053764956658</v>
      </c>
    </row>
    <row r="12" spans="1:16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t="s">
        <v>312</v>
      </c>
      <c r="O13" t="s">
        <v>314</v>
      </c>
    </row>
    <row r="14" spans="1:16" x14ac:dyDescent="0.15">
      <c r="C14" s="17"/>
      <c r="D14" s="17"/>
      <c r="E14" s="89">
        <f>E9/E11</f>
        <v>0.99999958908583253</v>
      </c>
      <c r="F14" s="17"/>
      <c r="G14" s="17"/>
      <c r="M14" t="s">
        <v>313</v>
      </c>
      <c r="N14" t="e">
        <f>4000000/D12</f>
        <v>#NUM!</v>
      </c>
      <c r="O14">
        <v>164.58054684579167</v>
      </c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>
        <f>E9/E11</f>
        <v>0.99999958908583253</v>
      </c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t="s">
        <v>315</v>
      </c>
    </row>
    <row r="17" spans="1:15" x14ac:dyDescent="0.15">
      <c r="A17" s="60"/>
      <c r="B17" s="60"/>
      <c r="C17" s="87"/>
      <c r="D17" s="17"/>
      <c r="E17" s="17"/>
      <c r="F17" s="17"/>
      <c r="G17" s="17"/>
      <c r="H17" s="17"/>
      <c r="M17" t="e">
        <f>O14*D12/1000000</f>
        <v>#NUM!</v>
      </c>
      <c r="N17" t="s">
        <v>316</v>
      </c>
    </row>
    <row r="18" spans="1:15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-3.9293432459210076E-6</v>
      </c>
      <c r="I18" s="16"/>
      <c r="L18" s="86"/>
      <c r="M18" s="86">
        <v>1.5926707032437707E-2</v>
      </c>
      <c r="O18" t="s">
        <v>317</v>
      </c>
    </row>
    <row r="19" spans="1:15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5" x14ac:dyDescent="0.15">
      <c r="A20" s="23">
        <f>-(1-J29)</f>
        <v>-0.99706396255791552</v>
      </c>
      <c r="B20" s="23">
        <f>J28-3*J29^2-2*J29</f>
        <v>2.9235037167667642E-2</v>
      </c>
      <c r="C20" s="23">
        <f>-(J28*J29-J29^2-J29^3)</f>
        <v>-9.4506098746588156E-5</v>
      </c>
      <c r="D20" s="23">
        <f>(3*B20-A20^2)/3</f>
        <v>-0.30214381130956314</v>
      </c>
      <c r="E20" s="23">
        <f>(2*A20^3-9*A20*B20+27*C20)/27</f>
        <v>-6.380164049090277E-2</v>
      </c>
      <c r="F20" s="4" t="s">
        <v>63</v>
      </c>
      <c r="G20" s="20"/>
      <c r="H20" s="20"/>
      <c r="I20" s="21"/>
      <c r="L20" s="86"/>
      <c r="M20" s="86"/>
    </row>
    <row r="21" spans="1:15" x14ac:dyDescent="0.15">
      <c r="L21" s="86"/>
      <c r="M21" s="86"/>
    </row>
    <row r="22" spans="1:15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5" ht="15" x14ac:dyDescent="0.15">
      <c r="G23" s="23" t="s">
        <v>31</v>
      </c>
      <c r="H23" s="11"/>
      <c r="I23" s="90">
        <v>8.3144720000000003</v>
      </c>
      <c r="J23" s="23"/>
      <c r="M23" s="86"/>
    </row>
    <row r="24" spans="1:15" ht="16" x14ac:dyDescent="0.2">
      <c r="A24" t="s">
        <v>64</v>
      </c>
      <c r="G24" s="1" t="s">
        <v>36</v>
      </c>
      <c r="H24" s="16">
        <f>TK/B4</f>
        <v>0.62360467087377769</v>
      </c>
      <c r="I24" s="23" t="s">
        <v>37</v>
      </c>
      <c r="J24" s="23"/>
      <c r="L24" s="17"/>
      <c r="M24" s="86"/>
    </row>
    <row r="25" spans="1:15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2.3534949399858795E-2</v>
      </c>
      <c r="I25" s="11">
        <f>0.4572355289*(B4*I23)^2*H27/C4</f>
        <v>1291626.0180102082</v>
      </c>
      <c r="J25" s="12"/>
      <c r="L25" s="86"/>
      <c r="M25" s="86"/>
    </row>
    <row r="26" spans="1:15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0.60282728831999999</v>
      </c>
      <c r="I26" s="23" t="s">
        <v>44</v>
      </c>
      <c r="J26" s="23"/>
      <c r="L26" s="86"/>
      <c r="M26" s="86"/>
    </row>
    <row r="27" spans="1:15" x14ac:dyDescent="0.15">
      <c r="G27" s="19" t="s">
        <v>46</v>
      </c>
      <c r="H27" s="21">
        <f>(1+kappa*(1-SQRT(Tr)))^2</f>
        <v>1.2696393748959591</v>
      </c>
      <c r="I27" s="11">
        <f>0.0777960739*I23*B4/C4</f>
        <v>56.295350967384707</v>
      </c>
      <c r="J27" s="12"/>
      <c r="L27" s="86"/>
      <c r="M27" s="86"/>
    </row>
    <row r="28" spans="1:15" x14ac:dyDescent="0.15">
      <c r="A28" t="s">
        <v>70</v>
      </c>
      <c r="I28" s="1" t="s">
        <v>48</v>
      </c>
      <c r="J28" s="16">
        <f>I25*B8/(I23*B7)^2</f>
        <v>3.5132972999420552E-2</v>
      </c>
      <c r="L28" s="86"/>
      <c r="M28" s="86"/>
    </row>
    <row r="29" spans="1:15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2.9360374420844717E-3</v>
      </c>
      <c r="L29" s="86"/>
      <c r="M29" s="86"/>
    </row>
    <row r="30" spans="1:15" x14ac:dyDescent="0.15">
      <c r="A30" s="23">
        <f>2*SQRT(-D20/3)</f>
        <v>0.63471128482123074</v>
      </c>
      <c r="B30" s="23">
        <f>3*E20/D20/A30</f>
        <v>0.99807499954365775</v>
      </c>
      <c r="C30" s="23">
        <f>ACOS(B30)</f>
        <v>6.2058333494141804E-2</v>
      </c>
      <c r="D30" s="23">
        <f>C30/3</f>
        <v>2.0686111164713934E-2</v>
      </c>
      <c r="E30" s="23">
        <f>$A$30*COS($D$30)</f>
        <v>0.63457548836213751</v>
      </c>
      <c r="F30" s="23">
        <f>$A$30*COS($D$30+4*PI()/3)</f>
        <v>-0.30591789426872806</v>
      </c>
      <c r="G30" s="23">
        <f>$A$30*COS($D$30+2*PI()/3)</f>
        <v>-0.32865759409340933</v>
      </c>
      <c r="L30" s="86"/>
      <c r="M30" s="86"/>
    </row>
    <row r="31" spans="1:15" x14ac:dyDescent="0.15">
      <c r="L31" s="86"/>
      <c r="M31" s="86"/>
    </row>
    <row r="32" spans="1:15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1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38" zoomScaleNormal="138" zoomScalePageLayoutView="115" workbookViewId="0">
      <selection activeCell="A15" sqref="A15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PROPANE</v>
      </c>
      <c r="B4" s="74">
        <f>Props!B4</f>
        <v>369.8</v>
      </c>
      <c r="C4" s="74">
        <f>Props!C4</f>
        <v>4.2489999999999997</v>
      </c>
      <c r="D4" s="74">
        <f>Props!D4</f>
        <v>0.152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0.98340950013924266</v>
      </c>
      <c r="F9" s="6">
        <f>E9*$I$26*$B$7/$B$8</f>
        <v>24366.061645256352</v>
      </c>
      <c r="G9" s="5">
        <f>P*EXP(Z-1-LN(Z-B)-A/B/2.8284*LN((Z+2.414*B)/(Z-0.414*B)))</f>
        <v>9.8364041542871206E-2</v>
      </c>
      <c r="H9" s="29">
        <f>_R*TK*(Z-1-A/B/2.8284*(1+kappa*SQRT(Tr/alpha))*LN((Z+2.4142*B)/(Z-0.4142*B)))</f>
        <v>-111.99072717242281</v>
      </c>
      <c r="I9" s="29">
        <f>H9-(Z-1)*_R*TK</f>
        <v>-70.88423569805812</v>
      </c>
      <c r="J9" s="6">
        <f>_R*LN(Z-B)-A*_R/B/2.8284*kappa*SQRT(Tr/alpha)*LN((Z+2.4142*B)/(Z-0.4142*B))</f>
        <v>-0.23863930743613684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1.0814499519578247E-2</v>
      </c>
      <c r="F10" s="28">
        <f>E10*$I$26*$B$7/$B$8</f>
        <v>267.95222327964939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3.5039309455990875E-3</v>
      </c>
      <c r="F11" s="8">
        <f>E11*$I$26*$B$7/$B$8</f>
        <v>86.817340496609063</v>
      </c>
      <c r="G11" s="7">
        <f>P*EXP(Z-1-LN(Z-B)-A/B/2.8284*LN((Z+2.414*B)/(Z-0.414*B)))</f>
        <v>0.78143337999186002</v>
      </c>
      <c r="H11" s="30">
        <f>_R*TK*(Z-1-A/B/2.8284*(1+kappa*SQRT(Tr/alpha))*LN((Z+2.4142*B)/(Z-0.4142*B)))</f>
        <v>-16112.74755341223</v>
      </c>
      <c r="I11" s="30">
        <f>H11-(Z-1)*_R*TK</f>
        <v>-13643.716631461892</v>
      </c>
      <c r="J11" s="8">
        <f>_R*LN(Z-B)-A*_R/B/2.8284*kappa*SQRT(Tr/alpha)*LN((Z+2.4142*B)/(Z-0.4142*B))</f>
        <v>-71.158335929390034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1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-4.4948072480547122E-7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-0.99772793060442011</v>
      </c>
      <c r="B23" s="23">
        <f>J31-3*J32^2-2*J32</f>
        <v>1.4118773806066414E-2</v>
      </c>
      <c r="C23" s="23">
        <f>-(J31*J32-J32^2-J32^3)</f>
        <v>-3.7264591410883456E-5</v>
      </c>
      <c r="D23" s="23">
        <f>(3*B23-A23^2)/3</f>
        <v>-0.31770156736332644</v>
      </c>
      <c r="E23" s="23">
        <f>(2*A23^3-9*A23*B23+27*C23)/27</f>
        <v>-6.8912015673431595E-2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0.80584099513250407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2.3534949399858795E-2</v>
      </c>
      <c r="I28" s="11">
        <f>0.4572355289*(B4*I26)^2*H30/C4</f>
        <v>1146678.1531176986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0.60282728831999999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1.1271588782130753</v>
      </c>
      <c r="I30" s="11">
        <f>0.0777960739*I26*B4/C4</f>
        <v>56.295350967384707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1.867839949524111E-2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2.2720693955798526E-3</v>
      </c>
    </row>
    <row r="33" spans="1:7" x14ac:dyDescent="0.15">
      <c r="A33" s="23">
        <f>2*SQRT(-D23/3)</f>
        <v>0.65084720927247475</v>
      </c>
      <c r="B33" s="23">
        <f>3*E23/D23/A33</f>
        <v>0.99981075349613413</v>
      </c>
      <c r="C33" s="23">
        <f>ACOS(B33)</f>
        <v>1.9455203581920655E-2</v>
      </c>
      <c r="D33" s="23">
        <f>C33/3</f>
        <v>6.4850678606402186E-3</v>
      </c>
      <c r="E33" s="23">
        <f>$A$33*COS($D$33)</f>
        <v>0.65083352327110267</v>
      </c>
      <c r="F33" s="23">
        <f>$A$33*COS($D$33+4*PI()/3)</f>
        <v>-0.32176147734856181</v>
      </c>
      <c r="G33" s="23">
        <f>$A$33*COS($D$33+2*PI()/3)</f>
        <v>-0.32907204592254097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workbookViewId="0">
      <selection activeCell="C14" sqref="C14:F14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7" sqref="D17:G17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2020-03-03T03:30:49Z</dcterms:modified>
</cp:coreProperties>
</file>