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7 Excel/"/>
    </mc:Choice>
  </mc:AlternateContent>
  <xr:revisionPtr revIDLastSave="0" documentId="10_ncr:8100000_{C1BF6CD3-7ED8-8548-8EFF-2C309CC20060}" xr6:coauthVersionLast="34" xr6:coauthVersionMax="34" xr10:uidLastSave="{00000000-0000-0000-0000-000000000000}"/>
  <bookViews>
    <workbookView xWindow="480" yWindow="460" windowWidth="24980" windowHeight="15540" tabRatio="538" activeTab="2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Props!$B$7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Props!$E$14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1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3" l="1"/>
  <c r="P8" i="3"/>
  <c r="O8" i="3"/>
  <c r="O9" i="3"/>
  <c r="P7" i="3"/>
  <c r="O7" i="3"/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/>
  <c r="A4" i="4"/>
  <c r="L4" i="3"/>
  <c r="H27" i="3" l="1"/>
  <c r="I25" i="3" s="1"/>
  <c r="J28" i="3" s="1"/>
  <c r="C20" i="3" s="1"/>
  <c r="H30" i="4"/>
  <c r="I28" i="4" s="1"/>
  <c r="J31" i="4" s="1"/>
  <c r="C18" i="2"/>
  <c r="E18" i="2" s="1"/>
  <c r="B18" i="2"/>
  <c r="D18" i="2" s="1"/>
  <c r="A26" i="2" s="1"/>
  <c r="I30" i="4"/>
  <c r="J32" i="4" s="1"/>
  <c r="A23" i="4" s="1"/>
  <c r="B20" i="3" l="1"/>
  <c r="D20" i="3" s="1"/>
  <c r="A30" i="3" s="1"/>
  <c r="B26" i="2"/>
  <c r="C26" i="2" s="1"/>
  <c r="D26" i="2" s="1"/>
  <c r="E26" i="2" s="1"/>
  <c r="C9" i="2" s="1"/>
  <c r="H16" i="2"/>
  <c r="B22" i="2" s="1"/>
  <c r="B23" i="4"/>
  <c r="D23" i="4" s="1"/>
  <c r="A33" i="4" s="1"/>
  <c r="C23" i="4"/>
  <c r="E20" i="3" l="1"/>
  <c r="B30" i="3" s="1"/>
  <c r="C30" i="3" s="1"/>
  <c r="D30" i="3" s="1"/>
  <c r="E23" i="4"/>
  <c r="H21" i="4" s="1"/>
  <c r="B29" i="4" s="1"/>
  <c r="D9" i="2"/>
  <c r="E9" i="2"/>
  <c r="F26" i="2"/>
  <c r="C10" i="2" s="1"/>
  <c r="D10" i="2" s="1"/>
  <c r="A22" i="2"/>
  <c r="C22" i="2" s="1"/>
  <c r="C12" i="2" s="1"/>
  <c r="G26" i="2"/>
  <c r="C11" i="2" s="1"/>
  <c r="H18" i="3" l="1"/>
  <c r="A26" i="3" s="1"/>
  <c r="B33" i="4"/>
  <c r="C33" i="4" s="1"/>
  <c r="D33" i="4" s="1"/>
  <c r="F33" i="4" s="1"/>
  <c r="E10" i="4" s="1"/>
  <c r="F10" i="4" s="1"/>
  <c r="E11" i="2"/>
  <c r="D11" i="2"/>
  <c r="D12" i="2"/>
  <c r="E12" i="2"/>
  <c r="A29" i="4"/>
  <c r="C29" i="4" s="1"/>
  <c r="E12" i="4" s="1"/>
  <c r="C18" i="4" s="1"/>
  <c r="E30" i="3"/>
  <c r="C9" i="3" s="1"/>
  <c r="F30" i="3"/>
  <c r="C10" i="3" s="1"/>
  <c r="G30" i="3"/>
  <c r="C11" i="3" s="1"/>
  <c r="H12" i="2"/>
  <c r="B26" i="3" l="1"/>
  <c r="C26" i="3" s="1"/>
  <c r="C12" i="3" s="1"/>
  <c r="K12" i="3" s="1"/>
  <c r="E33" i="4"/>
  <c r="E9" i="4" s="1"/>
  <c r="G9" i="4" s="1"/>
  <c r="G33" i="4"/>
  <c r="E11" i="4" s="1"/>
  <c r="H11" i="4" s="1"/>
  <c r="I11" i="4" s="1"/>
  <c r="H9" i="4"/>
  <c r="I9" i="4" s="1"/>
  <c r="J9" i="4"/>
  <c r="F9" i="4"/>
  <c r="J11" i="4"/>
  <c r="G11" i="4"/>
  <c r="D11" i="3"/>
  <c r="I11" i="3"/>
  <c r="K11" i="3"/>
  <c r="E11" i="3"/>
  <c r="I10" i="3"/>
  <c r="K10" i="3"/>
  <c r="D10" i="3"/>
  <c r="E18" i="4"/>
  <c r="D18" i="4"/>
  <c r="D9" i="3"/>
  <c r="K9" i="3"/>
  <c r="I9" i="3"/>
  <c r="E9" i="3"/>
  <c r="G12" i="4"/>
  <c r="H12" i="4"/>
  <c r="I12" i="4" s="1"/>
  <c r="F12" i="4"/>
  <c r="J12" i="4"/>
  <c r="F19" i="4" s="1"/>
  <c r="I12" i="3" l="1"/>
  <c r="J12" i="3" s="1"/>
  <c r="D12" i="3"/>
  <c r="E12" i="3"/>
  <c r="F11" i="4"/>
  <c r="E19" i="4"/>
  <c r="H9" i="3"/>
  <c r="H11" i="3"/>
  <c r="D19" i="4"/>
  <c r="H10" i="3"/>
  <c r="H12" i="3"/>
  <c r="E14" i="3"/>
  <c r="L15" i="3"/>
  <c r="J9" i="3"/>
  <c r="J11" i="3"/>
  <c r="J10" i="3"/>
  <c r="N14" i="3" l="1"/>
  <c r="M17" i="3"/>
  <c r="F12" i="3"/>
  <c r="G12" i="3" s="1"/>
  <c r="F11" i="3"/>
  <c r="G11" i="3" s="1"/>
  <c r="F10" i="3"/>
  <c r="G10" i="3" s="1"/>
  <c r="F9" i="3"/>
  <c r="G9" i="3" s="1"/>
</calcChain>
</file>

<file path=xl/sharedStrings.xml><?xml version="1.0" encoding="utf-8"?>
<sst xmlns="http://schemas.openxmlformats.org/spreadsheetml/2006/main" count="510" uniqueCount="318">
  <si>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</si>
  <si>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</si>
  <si>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</si>
  <si>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</si>
  <si>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</si>
  <si>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</si>
  <si>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</si>
  <si>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</si>
  <si>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</si>
  <si>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</si>
  <si>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</si>
  <si>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</si>
  <si>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</si>
  <si>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</si>
  <si>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</si>
  <si>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</si>
  <si>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</si>
  <si>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</si>
  <si>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</si>
  <si>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</si>
  <si>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</si>
  <si>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</si>
  <si>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</si>
  <si>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</si>
  <si>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</si>
  <si>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</si>
  <si>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</si>
  <si>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</si>
  <si>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</si>
  <si>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</si>
  <si>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</si>
  <si>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</si>
  <si>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</si>
  <si>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</si>
  <si>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</si>
  <si>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</si>
  <si>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</si>
  <si>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</si>
  <si>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</si>
  <si>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</si>
  <si>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</si>
  <si>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</si>
  <si>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</si>
  <si>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</si>
  <si>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</si>
  <si>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</si>
  <si>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</si>
  <si>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</si>
  <si>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</si>
  <si>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</si>
  <si>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</si>
  <si>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</si>
  <si>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</si>
  <si>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</si>
  <si>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</si>
  <si>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</si>
  <si>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</si>
  <si>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</si>
  <si>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</si>
  <si>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</si>
  <si>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</si>
  <si>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</si>
  <si>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</si>
  <si>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</si>
  <si>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</si>
  <si>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</si>
  <si>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</si>
  <si>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</si>
  <si>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</si>
  <si>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</si>
  <si>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</si>
  <si>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</si>
  <si>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</si>
  <si>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</si>
  <si>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</si>
  <si>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</si>
  <si>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</si>
  <si>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</si>
  <si>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</si>
  <si>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</si>
  <si>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</si>
  <si>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</si>
  <si>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</si>
  <si>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</si>
  <si>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</si>
  <si>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</si>
  <si>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</si>
  <si>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</si>
  <si>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</si>
  <si>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</si>
  <si>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</si>
  <si>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</si>
  <si>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</si>
  <si>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</si>
  <si>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</si>
  <si>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</si>
  <si>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</si>
  <si>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</si>
  <si>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</si>
  <si>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</si>
  <si>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</si>
  <si>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</si>
  <si>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</si>
  <si>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</si>
  <si>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</si>
  <si>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</si>
  <si>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</si>
  <si>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</si>
  <si>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</si>
  <si>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</si>
  <si>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</si>
  <si>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</si>
  <si>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</si>
  <si>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</si>
  <si>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</si>
  <si>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</si>
  <si>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</si>
  <si>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</si>
  <si>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</si>
  <si>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</si>
  <si>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</si>
  <si>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</si>
  <si>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</si>
  <si>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</si>
  <si>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</si>
  <si>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</si>
  <si>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</si>
  <si>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</si>
  <si>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</si>
  <si>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</si>
  <si>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</si>
  <si>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</si>
  <si>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</si>
  <si>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</si>
  <si>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</si>
  <si>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</si>
  <si>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</si>
  <si>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</si>
  <si>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</si>
  <si>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</si>
  <si>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</si>
  <si>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</si>
  <si>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</si>
  <si>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</si>
  <si>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</si>
  <si>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</si>
  <si>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</si>
  <si>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</si>
  <si>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</si>
  <si>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</si>
  <si>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</si>
  <si>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</si>
  <si>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</si>
  <si>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</si>
  <si>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</si>
  <si>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</si>
  <si>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</si>
  <si>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</si>
  <si>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</si>
  <si>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</si>
  <si>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</si>
  <si>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</si>
  <si>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</si>
  <si>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</si>
  <si>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</si>
  <si>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</si>
  <si>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</si>
  <si>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</si>
  <si>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</si>
  <si>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</si>
  <si>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</si>
  <si>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</si>
  <si>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</si>
  <si>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</si>
  <si>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</si>
  <si>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</si>
  <si>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</si>
  <si>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</si>
  <si>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</si>
  <si>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</si>
  <si>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</si>
  <si>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</si>
  <si>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</si>
  <si>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</si>
  <si>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</si>
  <si>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</si>
  <si>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</si>
  <si>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</si>
  <si>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</si>
  <si>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</si>
  <si>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</si>
  <si>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</si>
  <si>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</si>
  <si>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</si>
  <si>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</si>
  <si>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</si>
  <si>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</si>
  <si>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</si>
  <si>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</si>
  <si>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</si>
  <si>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</si>
  <si>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</si>
  <si>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</si>
  <si>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</si>
  <si>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</si>
  <si>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</si>
  <si>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</si>
  <si>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</si>
  <si>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</si>
  <si>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</si>
  <si>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</si>
  <si>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</si>
  <si>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</si>
  <si>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</si>
  <si>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</si>
  <si>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</si>
  <si>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</si>
  <si>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</si>
  <si>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</si>
  <si>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</si>
  <si>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</si>
  <si>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</si>
  <si>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</si>
  <si>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</si>
  <si>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</si>
  <si>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</si>
  <si>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</si>
  <si>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</si>
  <si>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</si>
  <si>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</si>
  <si>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</si>
  <si>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</si>
  <si>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</si>
  <si>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</si>
  <si>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</si>
  <si>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</si>
  <si>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</si>
  <si>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</si>
  <si>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</si>
  <si>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</si>
  <si>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</si>
  <si>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</si>
  <si>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</si>
  <si>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</si>
  <si>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</si>
  <si>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</si>
  <si>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</si>
  <si>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</si>
  <si>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</si>
  <si>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</si>
  <si>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</si>
  <si>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</si>
  <si>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</si>
  <si>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</si>
  <si>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</si>
  <si>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</si>
  <si>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</si>
  <si>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</si>
  <si>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</si>
  <si>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</si>
  <si>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</si>
  <si>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</si>
  <si>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</si>
  <si>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</si>
  <si>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</si>
  <si>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</si>
  <si>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</si>
  <si>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</si>
  <si>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</si>
  <si>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</si>
  <si>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</si>
  <si>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</si>
  <si>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</si>
  <si>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</si>
  <si>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</si>
  <si>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</si>
  <si>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</si>
  <si>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</si>
  <si>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</si>
  <si>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</si>
  <si>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</si>
  <si>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</si>
  <si>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</si>
  <si>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</si>
  <si>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</si>
  <si>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</si>
  <si>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</si>
  <si>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</si>
  <si>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</si>
  <si>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</si>
  <si>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</si>
  <si>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</si>
  <si>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</si>
  <si>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</si>
  <si>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</si>
  <si>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</si>
  <si>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</si>
  <si>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</si>
  <si>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</si>
  <si>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</si>
  <si>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</si>
  <si>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</si>
  <si>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</si>
  <si>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</si>
  <si>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</si>
  <si>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</si>
  <si>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</si>
  <si>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</si>
  <si>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Tr</t>
  </si>
  <si>
    <t>pr</t>
  </si>
  <si>
    <t>Tk</t>
  </si>
  <si>
    <t>Pmpa</t>
  </si>
  <si>
    <t>PP 7.5</t>
  </si>
  <si>
    <t xml:space="preserve">Moles = </t>
  </si>
  <si>
    <t>Moles</t>
  </si>
  <si>
    <t>Final volume 7.5 pp</t>
  </si>
  <si>
    <t>m^3</t>
  </si>
  <si>
    <t>15.9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</si>
</sst>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 x14ac:dyDescent="0.15"/>
  <cols>
    <col min="2" max="2" width="11" customWidth="1"/>
  </cols>
  <sheetData>
    <row r="2" spans="2:3" s="76" customFormat="1" ht="23" x14ac:dyDescent="0.25">
      <c r="B2" s="76" t="s">
        <v>0</v>
      </c>
      <c r="C2"/>
    </row>
    <row r="4" spans="2:3" x14ac:dyDescent="0.15">
      <c r="B4" t="s">
        <v>1</v>
      </c>
    </row>
    <row r="6" spans="2:3" x14ac:dyDescent="0.15">
      <c r="B6" t="s">
        <v>2</v>
      </c>
      <c r="C6" t="s">
        <v>3</v>
      </c>
    </row>
    <row r="7" spans="2:3" x14ac:dyDescent="0.15">
      <c r="C7" t="s">
        <v>4</v>
      </c>
    </row>
    <row r="9" spans="2:3" x14ac:dyDescent="0.15">
      <c r="B9" t="s">
        <v>5</v>
      </c>
      <c r="C9" t="s">
        <v>6</v>
      </c>
    </row>
    <row r="10" spans="2:3" x14ac:dyDescent="0.15">
      <c r="C10" t="s">
        <v>7</v>
      </c>
    </row>
    <row r="11" spans="2:3" x14ac:dyDescent="0.15">
      <c r="C11" t="s">
        <v>8</v>
      </c>
    </row>
    <row r="12" spans="2:3" x14ac:dyDescent="0.15">
      <c r="C12" t="s">
        <v>9</v>
      </c>
    </row>
    <row r="14" spans="2:3" x14ac:dyDescent="0.15">
      <c r="B14" t="s">
        <v>10</v>
      </c>
      <c r="C14" t="s">
        <v>11</v>
      </c>
    </row>
    <row r="15" spans="2:3" x14ac:dyDescent="0.15">
      <c r="C15" t="s">
        <v>12</v>
      </c>
    </row>
    <row r="16" spans="2:3" x14ac:dyDescent="0.15">
      <c r="C16" t="s">
        <v>13</v>
      </c>
    </row>
    <row r="18" spans="2:3" x14ac:dyDescent="0.15">
      <c r="B18" t="s">
        <v>14</v>
      </c>
      <c r="C18" t="s">
        <v>15</v>
      </c>
    </row>
    <row r="20" spans="2:3" x14ac:dyDescent="0.15">
      <c r="B20" t="s">
        <v>16</v>
      </c>
      <c r="C20" t="s">
        <v>17</v>
      </c>
    </row>
    <row r="22" spans="2:3" x14ac:dyDescent="0.15">
      <c r="B22" t="s">
        <v>18</v>
      </c>
    </row>
    <row r="23" spans="2:3" x14ac:dyDescent="0.15">
      <c r="B23" t="s">
        <v>19</v>
      </c>
    </row>
    <row r="25" spans="2:3" x14ac:dyDescent="0.15">
      <c r="B25" s="93" t="s">
        <v>304</v>
      </c>
    </row>
    <row r="26" spans="2:3" x14ac:dyDescent="0.15">
      <c r="B26" s="93" t="s">
        <v>307</v>
      </c>
    </row>
    <row r="27" spans="2:3" x14ac:dyDescent="0.15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 x14ac:dyDescent="0.15"/>
  <cols>
    <col min="3" max="3" width="13.6640625" bestFit="1" customWidth="1"/>
  </cols>
  <sheetData>
    <row r="1" spans="1:10" x14ac:dyDescent="0.15">
      <c r="A1" t="s">
        <v>20</v>
      </c>
      <c r="F1" t="s">
        <v>21</v>
      </c>
    </row>
    <row r="2" spans="1:10" ht="14" thickBot="1" x14ac:dyDescent="0.2">
      <c r="A2" s="13" t="s">
        <v>22</v>
      </c>
      <c r="B2" s="14"/>
    </row>
    <row r="3" spans="1:10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</row>
    <row r="4" spans="1:10" x14ac:dyDescent="0.15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 x14ac:dyDescent="0.2">
      <c r="G5" s="11" t="s">
        <v>28</v>
      </c>
      <c r="H5" s="22"/>
      <c r="I5" s="22"/>
      <c r="J5" s="12"/>
    </row>
    <row r="6" spans="1:10" ht="16" thickBot="1" x14ac:dyDescent="0.2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 x14ac:dyDescent="0.2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 x14ac:dyDescent="0.25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 x14ac:dyDescent="0.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x14ac:dyDescent="0.15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 x14ac:dyDescent="0.2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 x14ac:dyDescent="0.2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 x14ac:dyDescent="0.15">
      <c r="C13" t="s">
        <v>51</v>
      </c>
      <c r="G13" t="s">
        <v>52</v>
      </c>
    </row>
    <row r="14" spans="1:10" x14ac:dyDescent="0.15">
      <c r="A14" s="17"/>
      <c r="B14" s="17"/>
      <c r="F14" s="17"/>
      <c r="G14" t="s">
        <v>53</v>
      </c>
      <c r="H14" s="17"/>
      <c r="I14" s="17"/>
    </row>
    <row r="15" spans="1:10" x14ac:dyDescent="0.15">
      <c r="F15" s="17"/>
      <c r="G15" s="17"/>
      <c r="H15" s="17"/>
      <c r="I15" s="17"/>
    </row>
    <row r="16" spans="1:10" ht="16" x14ac:dyDescent="0.2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 x14ac:dyDescent="0.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 x14ac:dyDescent="0.15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 x14ac:dyDescent="0.15">
      <c r="K19" s="86"/>
      <c r="L19" s="86"/>
    </row>
    <row r="20" spans="1:12" x14ac:dyDescent="0.15">
      <c r="A20" t="s">
        <v>64</v>
      </c>
      <c r="K20" s="86"/>
      <c r="L20" s="86"/>
    </row>
    <row r="21" spans="1:12" x14ac:dyDescent="0.15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 x14ac:dyDescent="0.15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 x14ac:dyDescent="0.15">
      <c r="K23" s="86"/>
      <c r="L23" s="86"/>
    </row>
    <row r="24" spans="1:12" x14ac:dyDescent="0.15">
      <c r="A24" t="s">
        <v>70</v>
      </c>
      <c r="K24" s="86"/>
      <c r="L24" s="86"/>
    </row>
    <row r="25" spans="1:12" ht="15" x14ac:dyDescent="0.2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 x14ac:dyDescent="0.15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 x14ac:dyDescent="0.15">
      <c r="K27" s="86"/>
      <c r="L27" s="86"/>
    </row>
    <row r="28" spans="1:12" x14ac:dyDescent="0.15">
      <c r="A28" t="s">
        <v>76</v>
      </c>
      <c r="K28" s="86"/>
      <c r="L28" s="86"/>
    </row>
    <row r="29" spans="1:12" ht="15" x14ac:dyDescent="0.2">
      <c r="A29" s="17" t="s">
        <v>77</v>
      </c>
      <c r="K29" s="86"/>
      <c r="L29" s="86"/>
    </row>
    <row r="30" spans="1:12" x14ac:dyDescent="0.15">
      <c r="A30" t="s">
        <v>78</v>
      </c>
      <c r="K30" s="86"/>
      <c r="L30" s="86"/>
    </row>
    <row r="31" spans="1:12" x14ac:dyDescent="0.15">
      <c r="A31" t="s">
        <v>79</v>
      </c>
      <c r="K31" s="86"/>
      <c r="L31" s="86"/>
    </row>
    <row r="32" spans="1:12" x14ac:dyDescent="0.15">
      <c r="K32" s="86"/>
      <c r="L32" s="86"/>
    </row>
    <row r="33" spans="11:12" x14ac:dyDescent="0.15">
      <c r="K33" s="86"/>
      <c r="L33" s="86"/>
    </row>
    <row r="34" spans="11:12" x14ac:dyDescent="0.15">
      <c r="K34" s="86"/>
      <c r="L34" s="86"/>
    </row>
    <row r="35" spans="11:12" x14ac:dyDescent="0.15">
      <c r="K35" s="86"/>
      <c r="L35" s="86"/>
    </row>
    <row r="36" spans="11:12" x14ac:dyDescent="0.15">
      <c r="K36" s="86"/>
      <c r="L36" s="86"/>
    </row>
    <row r="37" spans="11:12" x14ac:dyDescent="0.15">
      <c r="K37" s="86"/>
      <c r="L37" s="86"/>
    </row>
    <row r="38" spans="11:12" x14ac:dyDescent="0.15">
      <c r="K38" s="86"/>
      <c r="L38" s="86"/>
    </row>
    <row r="39" spans="11:12" x14ac:dyDescent="0.15">
      <c r="K39" s="86"/>
      <c r="L39" s="86"/>
    </row>
    <row r="40" spans="11:12" x14ac:dyDescent="0.15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tabSelected="1" zoomScale="130" zoomScaleNormal="130" zoomScalePageLayoutView="130" workbookViewId="0">
      <selection activeCell="B7" sqref="B7"/>
    </sheetView>
  </sheetViews>
  <sheetFormatPr baseColWidth="10" defaultColWidth="8.83203125" defaultRowHeight="13" x14ac:dyDescent="0.15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6" x14ac:dyDescent="0.15">
      <c r="A1" t="s">
        <v>20</v>
      </c>
      <c r="F1" t="s">
        <v>21</v>
      </c>
    </row>
    <row r="2" spans="1:16" ht="17" thickBot="1" x14ac:dyDescent="0.25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6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6" x14ac:dyDescent="0.15">
      <c r="A4" t="s">
        <v>135</v>
      </c>
      <c r="B4">
        <v>369.8</v>
      </c>
      <c r="C4">
        <v>4.2489999999999997</v>
      </c>
      <c r="D4">
        <v>0.152</v>
      </c>
      <c r="E4">
        <v>-4.2240000000000002</v>
      </c>
      <c r="F4" s="91">
        <v>0.30630000000000002</v>
      </c>
      <c r="G4" s="91">
        <v>-1.5860000000000001E-4</v>
      </c>
      <c r="H4" s="91">
        <v>3.215E-8</v>
      </c>
      <c r="I4" s="20"/>
      <c r="J4" s="4">
        <f>CPA*(TK-TREF)+CPB/2*(TK^2-TREF^2)+CPC/3*(TK^3-TREF^3)+CPD/4*(TK^4-TREF^4)</f>
        <v>-4461.0407435786092</v>
      </c>
      <c r="K4" s="20">
        <f>J4-_R*(TK-TREF)</f>
        <v>-3900.7202216318183</v>
      </c>
      <c r="L4" s="21">
        <f>CPA*LN(TK/TREF)+CPB*(TK-TREF)+CPC/2*(TK^2-TREF^2)+CPD/3*(TK^3-TREF^3)-_R*LN(P/PREF)</f>
        <v>-16.886185836444149</v>
      </c>
    </row>
    <row r="5" spans="1:16" ht="14" thickBot="1" x14ac:dyDescent="0.2"/>
    <row r="6" spans="1:16" ht="14" thickBot="1" x14ac:dyDescent="0.2">
      <c r="A6" s="9" t="s">
        <v>29</v>
      </c>
      <c r="B6" s="10"/>
      <c r="C6" s="31" t="s">
        <v>30</v>
      </c>
      <c r="D6" s="32"/>
      <c r="E6" t="s">
        <v>51</v>
      </c>
      <c r="M6" t="s">
        <v>308</v>
      </c>
      <c r="N6" t="s">
        <v>309</v>
      </c>
      <c r="O6" t="s">
        <v>310</v>
      </c>
      <c r="P6" t="s">
        <v>311</v>
      </c>
    </row>
    <row r="7" spans="1:16" ht="16" thickTop="1" x14ac:dyDescent="0.15">
      <c r="A7" s="5" t="s">
        <v>32</v>
      </c>
      <c r="B7" s="48">
        <v>230.60900728912301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  <c r="M7">
        <v>0.9</v>
      </c>
      <c r="N7">
        <v>0.77</v>
      </c>
      <c r="O7">
        <f>M7*Tc</f>
        <v>332.82</v>
      </c>
      <c r="P7">
        <f>N7*C4</f>
        <v>3.2717299999999998</v>
      </c>
    </row>
    <row r="8" spans="1:16" ht="16" thickBot="1" x14ac:dyDescent="0.2">
      <c r="A8" s="7" t="s">
        <v>38</v>
      </c>
      <c r="B8" s="49">
        <v>0.1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  <c r="M8">
        <v>0.9</v>
      </c>
      <c r="N8">
        <v>0.5</v>
      </c>
      <c r="O8">
        <f>M8*Tc</f>
        <v>332.82</v>
      </c>
      <c r="P8">
        <f>N8*C4</f>
        <v>2.1244999999999998</v>
      </c>
    </row>
    <row r="9" spans="1:16" x14ac:dyDescent="0.15">
      <c r="A9" s="36" t="s">
        <v>42</v>
      </c>
      <c r="B9" s="44"/>
      <c r="C9" s="29">
        <f>E30-$A$20/3</f>
        <v>0.96693014254810938</v>
      </c>
      <c r="D9" s="6">
        <f>C9*$I$23*$B$7/$B$8</f>
        <v>18539.842495006931</v>
      </c>
      <c r="E9" s="5">
        <f>P*EXP(Z-1-LN(Z-B)-A/B/2.8284*LN((Z+2.4142*B)/(Z-0.4142*B)))</f>
        <v>9.6790190308548255E-2</v>
      </c>
      <c r="F9" s="29">
        <f>I9+$J$4-'Ref State'!$D$19+'Ref State'!$D$18</f>
        <v>-4623.2500552379133</v>
      </c>
      <c r="G9" s="29">
        <f>F9-Z*_R*TK</f>
        <v>-6477.2343047386066</v>
      </c>
      <c r="H9" s="29">
        <f>K9+$L$4-'Ref State'!$F$19+'Ref State'!$F$18</f>
        <v>-17.318325425969075</v>
      </c>
      <c r="I9" s="29">
        <f>_R*TK*(Z-1-A/B/2.8284*(1+kappa*SQRT(Tr/alpha))*LN((Z+2.4142*B)/(Z-0.4142*B)))</f>
        <v>-162.2093116593044</v>
      </c>
      <c r="J9" s="29">
        <f>I9-(Z-1)*_R*TK</f>
        <v>-98.801427106788424</v>
      </c>
      <c r="K9" s="6">
        <f>_R*LN(Z-B)-A*_R/B/2.8284*kappa*SQRT(Tr/alpha)*LN((Z+2.4142*B)/(Z-0.4142*B))</f>
        <v>-0.43213958952492681</v>
      </c>
      <c r="M9">
        <v>1.1000000000000001</v>
      </c>
      <c r="N9">
        <v>2</v>
      </c>
      <c r="O9">
        <f>M9*Tc</f>
        <v>406.78000000000003</v>
      </c>
      <c r="P9">
        <f>N9*C4</f>
        <v>8.4979999999999993</v>
      </c>
    </row>
    <row r="10" spans="1:16" x14ac:dyDescent="0.15">
      <c r="A10" s="38" t="s">
        <v>45</v>
      </c>
      <c r="B10" s="45"/>
      <c r="C10" s="17">
        <f>F30-$A$20/3</f>
        <v>2.6436759917243757E-2</v>
      </c>
      <c r="D10" s="28">
        <f>C10*$I$23*$B$7/$B$8</f>
        <v>506.89635515176354</v>
      </c>
      <c r="E10" s="54"/>
      <c r="F10" s="17">
        <f>I10+$J$4-'Ref State'!$D$19+'Ref State'!$D$18</f>
        <v>-9612.0614162061356</v>
      </c>
      <c r="G10" s="17">
        <f>F10-Z*_R*TK</f>
        <v>-9662.7510517213123</v>
      </c>
      <c r="H10" s="17">
        <f>K10+$L$4-'Ref State'!$F$19+'Ref State'!$F$18</f>
        <v>-52.30137366646666</v>
      </c>
      <c r="I10" s="17">
        <f>_R*TK*(Z-1-A/B/2.8284*(1+kappa*SQRT(Tr/alpha))*LN((Z+2.4142*B)/(Z-0.4142*B)))</f>
        <v>-5151.0206726275273</v>
      </c>
      <c r="J10" s="17">
        <f>I10-(Z-1)*_R*TK</f>
        <v>-3284.3181740894943</v>
      </c>
      <c r="K10" s="28">
        <f>_R*LN(Z-B)-A*_R/B/2.8284*kappa*SQRT(Tr/alpha)*LN((Z+2.4142*B)/(Z-0.4142*B))</f>
        <v>-35.415187830022511</v>
      </c>
    </row>
    <row r="11" spans="1:16" ht="14" thickBot="1" x14ac:dyDescent="0.2">
      <c r="A11" s="7"/>
      <c r="B11" s="8"/>
      <c r="C11" s="30">
        <f>G30-$A$20/3</f>
        <v>3.6970600925624875E-3</v>
      </c>
      <c r="D11" s="8">
        <f>C11*$I$23*$B$7/$B$8</f>
        <v>70.887139406013418</v>
      </c>
      <c r="E11" s="7">
        <f>P*EXP(Z-1-LN(Z-B)-A/B/2.8284*LN((Z+2.4142*B)/(Z-0.4142*B)))</f>
        <v>9.6790230081025067E-2</v>
      </c>
      <c r="F11" s="30">
        <f>I11+$J$4-'Ref State'!$D$19+'Ref State'!$D$18</f>
        <v>-23328.387274671019</v>
      </c>
      <c r="G11" s="30">
        <f>F11-Z*_R*TK</f>
        <v>-23335.475988611619</v>
      </c>
      <c r="H11" s="30">
        <f>K11+$L$4-'Ref State'!$F$19+'Ref State'!$F$18</f>
        <v>-98.430239601400814</v>
      </c>
      <c r="I11" s="30">
        <f>_R*TK*(Z-1-A/B/2.8284*(1+kappa*SQRT(Tr/alpha))*LN((Z+2.4142*B)/(Z-0.4142*B)))</f>
        <v>-18867.346531092411</v>
      </c>
      <c r="J11" s="30">
        <f>I11-(Z-1)*_R*TK</f>
        <v>-16957.043110979805</v>
      </c>
      <c r="K11" s="8">
        <f>_R*LN(Z-B)-A*_R/B/2.8284*kappa*SQRT(Tr/alpha)*LN((Z+2.4142*B)/(Z-0.4142*B))</f>
        <v>-81.544053764956658</v>
      </c>
    </row>
    <row r="12" spans="1:16" ht="14" thickBot="1" x14ac:dyDescent="0.2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6" x14ac:dyDescent="0.15">
      <c r="A13" s="17"/>
      <c r="B13" s="17"/>
      <c r="E13" s="88" t="s">
        <v>96</v>
      </c>
      <c r="F13" s="17"/>
      <c r="G13" s="17"/>
      <c r="H13" s="17"/>
      <c r="I13" s="17"/>
      <c r="M13" t="s">
        <v>312</v>
      </c>
      <c r="O13" t="s">
        <v>314</v>
      </c>
    </row>
    <row r="14" spans="1:16" x14ac:dyDescent="0.15">
      <c r="C14" s="17"/>
      <c r="D14" s="17"/>
      <c r="E14" s="89">
        <f>E9/E11</f>
        <v>0.99999958908583253</v>
      </c>
      <c r="F14" s="17"/>
      <c r="G14" s="17"/>
      <c r="M14" t="s">
        <v>313</v>
      </c>
      <c r="N14" t="e">
        <f>4000000/D12</f>
        <v>#NUM!</v>
      </c>
      <c r="O14">
        <v>164.58054684579167</v>
      </c>
    </row>
    <row r="15" spans="1:16" x14ac:dyDescent="0.15">
      <c r="A15" s="82" t="s">
        <v>97</v>
      </c>
      <c r="B15" s="15"/>
      <c r="C15" s="15"/>
      <c r="D15" s="15"/>
      <c r="E15" s="15"/>
      <c r="F15" s="15"/>
      <c r="G15" s="15"/>
      <c r="H15" s="16"/>
      <c r="L15">
        <f>E9/E11</f>
        <v>0.99999958908583253</v>
      </c>
    </row>
    <row r="16" spans="1:16" x14ac:dyDescent="0.15">
      <c r="A16" s="83" t="s">
        <v>98</v>
      </c>
      <c r="B16" s="20"/>
      <c r="C16" s="20"/>
      <c r="D16" s="20"/>
      <c r="E16" s="20"/>
      <c r="F16" s="20"/>
      <c r="G16" s="20"/>
      <c r="H16" s="21"/>
      <c r="M16" t="s">
        <v>315</v>
      </c>
    </row>
    <row r="17" spans="1:15" x14ac:dyDescent="0.15">
      <c r="A17" s="60"/>
      <c r="B17" s="60"/>
      <c r="C17" s="87"/>
      <c r="D17" s="17"/>
      <c r="E17" s="17"/>
      <c r="F17" s="17"/>
      <c r="G17" s="17"/>
      <c r="H17" s="17"/>
      <c r="M17" t="e">
        <f>O14*D12/1000000</f>
        <v>#NUM!</v>
      </c>
      <c r="N17" t="s">
        <v>316</v>
      </c>
    </row>
    <row r="18" spans="1:15" ht="16" x14ac:dyDescent="0.2">
      <c r="A18" t="s">
        <v>54</v>
      </c>
      <c r="C18" t="s">
        <v>55</v>
      </c>
      <c r="F18" s="1" t="s">
        <v>56</v>
      </c>
      <c r="G18" s="15"/>
      <c r="H18" s="15">
        <f>E20^2/4+D20^3/27</f>
        <v>-3.9293432459210076E-6</v>
      </c>
      <c r="I18" s="16"/>
      <c r="L18" s="86"/>
      <c r="M18" s="86">
        <v>1.5926707032437707E-2</v>
      </c>
      <c r="O18" t="s">
        <v>317</v>
      </c>
    </row>
    <row r="19" spans="1:15" ht="15" x14ac:dyDescent="0.2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5" x14ac:dyDescent="0.15">
      <c r="A20" s="23">
        <f>-(1-J29)</f>
        <v>-0.99706396255791552</v>
      </c>
      <c r="B20" s="23">
        <f>J28-3*J29^2-2*J29</f>
        <v>2.9235037167667642E-2</v>
      </c>
      <c r="C20" s="23">
        <f>-(J28*J29-J29^2-J29^3)</f>
        <v>-9.4506098746588156E-5</v>
      </c>
      <c r="D20" s="23">
        <f>(3*B20-A20^2)/3</f>
        <v>-0.30214381130956314</v>
      </c>
      <c r="E20" s="23">
        <f>(2*A20^3-9*A20*B20+27*C20)/27</f>
        <v>-6.380164049090277E-2</v>
      </c>
      <c r="F20" s="4" t="s">
        <v>63</v>
      </c>
      <c r="G20" s="20"/>
      <c r="H20" s="20"/>
      <c r="I20" s="21"/>
      <c r="L20" s="86"/>
      <c r="M20" s="86"/>
    </row>
    <row r="21" spans="1:15" x14ac:dyDescent="0.15">
      <c r="L21" s="86"/>
      <c r="M21" s="86"/>
    </row>
    <row r="22" spans="1:15" x14ac:dyDescent="0.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5" ht="15" x14ac:dyDescent="0.15">
      <c r="G23" s="23" t="s">
        <v>31</v>
      </c>
      <c r="H23" s="11"/>
      <c r="I23" s="90">
        <v>8.3144720000000003</v>
      </c>
      <c r="J23" s="23"/>
      <c r="M23" s="86"/>
    </row>
    <row r="24" spans="1:15" ht="16" x14ac:dyDescent="0.2">
      <c r="A24" t="s">
        <v>64</v>
      </c>
      <c r="G24" s="1" t="s">
        <v>36</v>
      </c>
      <c r="H24" s="16">
        <f>TK/B4</f>
        <v>0.62360467087377769</v>
      </c>
      <c r="I24" s="23" t="s">
        <v>37</v>
      </c>
      <c r="J24" s="23"/>
      <c r="L24" s="17"/>
      <c r="M24" s="86"/>
    </row>
    <row r="25" spans="1:15" ht="15" x14ac:dyDescent="0.2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2.3534949399858795E-2</v>
      </c>
      <c r="I25" s="11">
        <f>0.4572355289*(B4*I23)^2*H27/C4</f>
        <v>1291626.0180102082</v>
      </c>
      <c r="J25" s="12"/>
      <c r="L25" s="86"/>
      <c r="M25" s="86"/>
    </row>
    <row r="26" spans="1:15" ht="15" x14ac:dyDescent="0.15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0.60282728831999999</v>
      </c>
      <c r="I26" s="23" t="s">
        <v>44</v>
      </c>
      <c r="J26" s="23"/>
      <c r="L26" s="86"/>
      <c r="M26" s="86"/>
    </row>
    <row r="27" spans="1:15" x14ac:dyDescent="0.15">
      <c r="G27" s="19" t="s">
        <v>46</v>
      </c>
      <c r="H27" s="21">
        <f>(1+kappa*(1-SQRT(Tr)))^2</f>
        <v>1.2696393748959591</v>
      </c>
      <c r="I27" s="11">
        <f>0.0777960739*I23*B4/C4</f>
        <v>56.295350967384707</v>
      </c>
      <c r="J27" s="12"/>
      <c r="L27" s="86"/>
      <c r="M27" s="86"/>
    </row>
    <row r="28" spans="1:15" x14ac:dyDescent="0.15">
      <c r="A28" t="s">
        <v>70</v>
      </c>
      <c r="I28" s="1" t="s">
        <v>48</v>
      </c>
      <c r="J28" s="16">
        <f>I25*B8/(I23*B7)^2</f>
        <v>3.5132972999420552E-2</v>
      </c>
      <c r="L28" s="86"/>
      <c r="M28" s="86"/>
    </row>
    <row r="29" spans="1:15" ht="15" x14ac:dyDescent="0.2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2.9360374420844717E-3</v>
      </c>
      <c r="L29" s="86"/>
      <c r="M29" s="86"/>
    </row>
    <row r="30" spans="1:15" x14ac:dyDescent="0.15">
      <c r="A30" s="23">
        <f>2*SQRT(-D20/3)</f>
        <v>0.63471128482123074</v>
      </c>
      <c r="B30" s="23">
        <f>3*E20/D20/A30</f>
        <v>0.99807499954365775</v>
      </c>
      <c r="C30" s="23">
        <f>ACOS(B30)</f>
        <v>6.2058333494141804E-2</v>
      </c>
      <c r="D30" s="23">
        <f>C30/3</f>
        <v>2.0686111164713934E-2</v>
      </c>
      <c r="E30" s="23">
        <f>$A$30*COS($D$30)</f>
        <v>0.63457548836213751</v>
      </c>
      <c r="F30" s="23">
        <f>$A$30*COS($D$30+4*PI()/3)</f>
        <v>-0.30591789426872806</v>
      </c>
      <c r="G30" s="23">
        <f>$A$30*COS($D$30+2*PI()/3)</f>
        <v>-0.32865759409340933</v>
      </c>
      <c r="L30" s="86"/>
      <c r="M30" s="86"/>
    </row>
    <row r="31" spans="1:15" x14ac:dyDescent="0.15">
      <c r="L31" s="86"/>
      <c r="M31" s="86"/>
    </row>
    <row r="32" spans="1:15" x14ac:dyDescent="0.15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 x14ac:dyDescent="0.15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 x14ac:dyDescent="0.15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 x14ac:dyDescent="0.15">
      <c r="A35" s="23" t="s">
        <v>104</v>
      </c>
      <c r="B35" s="23">
        <f>'Ref State'!A15</f>
        <v>1</v>
      </c>
      <c r="C35" s="23"/>
      <c r="D35" s="23"/>
      <c r="L35" s="86"/>
      <c r="M35" s="86"/>
    </row>
    <row r="36" spans="1:13" x14ac:dyDescent="0.15">
      <c r="L36" s="86"/>
      <c r="M36" s="86"/>
    </row>
    <row r="37" spans="1:13" x14ac:dyDescent="0.15">
      <c r="L37" s="86"/>
      <c r="M37" s="86"/>
    </row>
    <row r="38" spans="1:13" x14ac:dyDescent="0.15">
      <c r="L38" s="86"/>
      <c r="M38" s="86"/>
    </row>
    <row r="39" spans="1:13" x14ac:dyDescent="0.15">
      <c r="L39" s="86"/>
      <c r="M39" s="86"/>
    </row>
    <row r="40" spans="1:13" x14ac:dyDescent="0.15">
      <c r="L40" s="86"/>
      <c r="M40" s="86"/>
    </row>
    <row r="41" spans="1:13" x14ac:dyDescent="0.15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zoomScale="138" zoomScaleNormal="138" zoomScalePageLayoutView="115" workbookViewId="0">
      <selection activeCell="A15" sqref="A15"/>
    </sheetView>
  </sheetViews>
  <sheetFormatPr baseColWidth="10" defaultColWidth="8.83203125" defaultRowHeight="13" x14ac:dyDescent="0.15"/>
  <cols>
    <col min="1" max="1" width="11.33203125" customWidth="1"/>
    <col min="2" max="2" width="11.5" customWidth="1"/>
  </cols>
  <sheetData>
    <row r="1" spans="1:12" x14ac:dyDescent="0.15">
      <c r="A1" t="s">
        <v>20</v>
      </c>
      <c r="F1" t="s">
        <v>21</v>
      </c>
    </row>
    <row r="2" spans="1:12" ht="14" thickBot="1" x14ac:dyDescent="0.2">
      <c r="A2" s="13" t="s">
        <v>22</v>
      </c>
      <c r="B2" s="14"/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 x14ac:dyDescent="0.15">
      <c r="A4" s="74" t="str">
        <f>Props!A4</f>
        <v>PROPANE</v>
      </c>
      <c r="B4" s="74">
        <f>Props!B4</f>
        <v>369.8</v>
      </c>
      <c r="C4" s="74">
        <f>Props!C4</f>
        <v>4.2489999999999997</v>
      </c>
      <c r="D4" s="74">
        <f>Props!D4</f>
        <v>0.152</v>
      </c>
      <c r="G4" t="s">
        <v>106</v>
      </c>
    </row>
    <row r="5" spans="1:12" ht="14" thickBot="1" x14ac:dyDescent="0.2">
      <c r="G5" t="s">
        <v>107</v>
      </c>
    </row>
    <row r="6" spans="1:12" ht="14" thickBot="1" x14ac:dyDescent="0.2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 x14ac:dyDescent="0.15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 x14ac:dyDescent="0.2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 x14ac:dyDescent="0.2">
      <c r="A9" s="5" t="s">
        <v>112</v>
      </c>
      <c r="B9" s="6"/>
      <c r="C9" s="56">
        <v>1</v>
      </c>
      <c r="D9" s="45"/>
      <c r="E9" s="29">
        <f>E33-$A$23/3</f>
        <v>0.98340950013924266</v>
      </c>
      <c r="F9" s="6">
        <f>E9*$I$26*$B$7/$B$8</f>
        <v>24366.061645256352</v>
      </c>
      <c r="G9" s="5">
        <f>P*EXP(Z-1-LN(Z-B)-A/B/2.8284*LN((Z+2.414*B)/(Z-0.414*B)))</f>
        <v>9.8364041542871206E-2</v>
      </c>
      <c r="H9" s="29">
        <f>_R*TK*(Z-1-A/B/2.8284*(1+kappa*SQRT(Tr/alpha))*LN((Z+2.4142*B)/(Z-0.4142*B)))</f>
        <v>-111.99072717242281</v>
      </c>
      <c r="I9" s="29">
        <f>H9-(Z-1)*_R*TK</f>
        <v>-70.88423569805812</v>
      </c>
      <c r="J9" s="6">
        <f>_R*LN(Z-B)-A*_R/B/2.8284*kappa*SQRT(Tr/alpha)*LN((Z+2.4142*B)/(Z-0.4142*B))</f>
        <v>-0.23863930743613684</v>
      </c>
      <c r="K9" s="36" t="s">
        <v>42</v>
      </c>
      <c r="L9" s="44"/>
    </row>
    <row r="10" spans="1:12" ht="14" thickBot="1" x14ac:dyDescent="0.2">
      <c r="A10" s="75">
        <v>0</v>
      </c>
      <c r="B10" s="43"/>
      <c r="C10" s="58"/>
      <c r="D10" s="59"/>
      <c r="E10" s="17">
        <f>F33-$A$23/3</f>
        <v>1.0814499519578247E-2</v>
      </c>
      <c r="F10" s="28">
        <f>E10*$I$26*$B$7/$B$8</f>
        <v>267.95222327964939</v>
      </c>
      <c r="G10" s="54"/>
      <c r="H10" s="17"/>
      <c r="I10" s="17"/>
      <c r="J10" s="28"/>
      <c r="K10" s="38" t="s">
        <v>45</v>
      </c>
      <c r="L10" s="45"/>
    </row>
    <row r="11" spans="1:12" ht="14" thickBot="1" x14ac:dyDescent="0.2">
      <c r="A11" s="5" t="s">
        <v>113</v>
      </c>
      <c r="B11" s="6"/>
      <c r="C11" s="56">
        <v>2</v>
      </c>
      <c r="D11" s="45"/>
      <c r="E11" s="30">
        <f>G33-$A$23/3</f>
        <v>3.5039309455990875E-3</v>
      </c>
      <c r="F11" s="8">
        <f>E11*$I$26*$B$7/$B$8</f>
        <v>86.817340496609063</v>
      </c>
      <c r="G11" s="7">
        <f>P*EXP(Z-1-LN(Z-B)-A/B/2.8284*LN((Z+2.414*B)/(Z-0.414*B)))</f>
        <v>0.78143337999186002</v>
      </c>
      <c r="H11" s="30">
        <f>_R*TK*(Z-1-A/B/2.8284*(1+kappa*SQRT(Tr/alpha))*LN((Z+2.4142*B)/(Z-0.4142*B)))</f>
        <v>-16112.74755341223</v>
      </c>
      <c r="I11" s="30">
        <f>H11-(Z-1)*_R*TK</f>
        <v>-13643.716631461892</v>
      </c>
      <c r="J11" s="8">
        <f>_R*LN(Z-B)-A*_R/B/2.8284*kappa*SQRT(Tr/alpha)*LN((Z+2.4142*B)/(Z-0.4142*B))</f>
        <v>-71.158335929390034</v>
      </c>
      <c r="K11" s="7"/>
      <c r="L11" s="8"/>
    </row>
    <row r="12" spans="1:12" ht="14" thickBot="1" x14ac:dyDescent="0.2">
      <c r="A12" s="75">
        <v>0</v>
      </c>
      <c r="B12" s="43"/>
      <c r="C12" s="57">
        <v>3</v>
      </c>
      <c r="D12" s="43"/>
      <c r="E12" s="35" t="e">
        <f>C29-A23/3</f>
        <v>#NUM!</v>
      </c>
      <c r="F12" s="32" t="e">
        <f>E12*$I$26*$B$7/$B$8</f>
        <v>#NUM!</v>
      </c>
      <c r="G12" s="31" t="e">
        <f>P*EXP(Z-1-LN(Z-B)-A/B/2.8284*LN((Z+2.414*B)/(Z-0.414*B)))</f>
        <v>#NUM!</v>
      </c>
      <c r="H12" s="35" t="e">
        <f>_R*TK*(Z-1-A/B/2.8284*(1+kappa*SQRT(Tr/alpha))*LN((Z+2.4142*B)/(Z-0.4142*B)))</f>
        <v>#NUM!</v>
      </c>
      <c r="I12" s="35" t="e">
        <f>H12-(Z-1)*_R*TK</f>
        <v>#NUM!</v>
      </c>
      <c r="J12" s="32" t="e">
        <f>_R*LN(Z-B)-A*_R/B/2.8284*kappa*SQRT(Tr/alpha)*LN((Z+2.4142*B)/(Z-0.4142*B))</f>
        <v>#NUM!</v>
      </c>
      <c r="K12" s="40" t="s">
        <v>49</v>
      </c>
      <c r="L12" s="55"/>
    </row>
    <row r="13" spans="1:12" x14ac:dyDescent="0.15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 x14ac:dyDescent="0.2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 x14ac:dyDescent="0.2">
      <c r="A15" s="75">
        <v>1</v>
      </c>
      <c r="B15" s="43"/>
    </row>
    <row r="16" spans="1:12" ht="14" thickBot="1" x14ac:dyDescent="0.2"/>
    <row r="17" spans="1:10" x14ac:dyDescent="0.15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 x14ac:dyDescent="0.15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4" thickBot="1" x14ac:dyDescent="0.2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 x14ac:dyDescent="0.15">
      <c r="A20" s="17"/>
      <c r="B20" s="17"/>
      <c r="F20" s="17"/>
      <c r="G20" s="17"/>
      <c r="H20" s="17"/>
      <c r="I20" s="17"/>
    </row>
    <row r="21" spans="1:10" ht="16" x14ac:dyDescent="0.2">
      <c r="A21" t="s">
        <v>54</v>
      </c>
      <c r="C21" t="s">
        <v>55</v>
      </c>
      <c r="F21" s="1" t="s">
        <v>56</v>
      </c>
      <c r="G21" s="15"/>
      <c r="H21" s="15">
        <f>E23^2/4+D23^3/27</f>
        <v>-4.4948072480547122E-7</v>
      </c>
      <c r="I21" s="16"/>
    </row>
    <row r="22" spans="1:10" ht="15" x14ac:dyDescent="0.2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 x14ac:dyDescent="0.15">
      <c r="A23" s="23">
        <f>-(1-J32)</f>
        <v>-0.99772793060442011</v>
      </c>
      <c r="B23" s="23">
        <f>J31-3*J32^2-2*J32</f>
        <v>1.4118773806066414E-2</v>
      </c>
      <c r="C23" s="23">
        <f>-(J31*J32-J32^2-J32^3)</f>
        <v>-3.7264591410883456E-5</v>
      </c>
      <c r="D23" s="23">
        <f>(3*B23-A23^2)/3</f>
        <v>-0.31770156736332644</v>
      </c>
      <c r="E23" s="23">
        <f>(2*A23^3-9*A23*B23+27*C23)/27</f>
        <v>-6.8912015673431595E-2</v>
      </c>
      <c r="F23" s="4" t="s">
        <v>63</v>
      </c>
      <c r="G23" s="20"/>
      <c r="H23" s="20"/>
      <c r="I23" s="21"/>
    </row>
    <row r="25" spans="1:10" x14ac:dyDescent="0.15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 x14ac:dyDescent="0.15">
      <c r="G26" s="23" t="s">
        <v>31</v>
      </c>
      <c r="H26" s="23"/>
      <c r="I26" s="34">
        <f>PVT!I6</f>
        <v>8.3144720000000003</v>
      </c>
      <c r="J26" s="23"/>
    </row>
    <row r="27" spans="1:10" ht="16" x14ac:dyDescent="0.2">
      <c r="A27" t="s">
        <v>64</v>
      </c>
      <c r="G27" s="1" t="s">
        <v>36</v>
      </c>
      <c r="H27" s="16">
        <f>TK/B4</f>
        <v>0.80584099513250407</v>
      </c>
      <c r="I27" s="23" t="s">
        <v>37</v>
      </c>
      <c r="J27" s="23"/>
    </row>
    <row r="28" spans="1:10" ht="15" x14ac:dyDescent="0.2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2.3534949399858795E-2</v>
      </c>
      <c r="I28" s="11">
        <f>0.4572355289*(B4*I26)^2*H30/C4</f>
        <v>1146678.1531176986</v>
      </c>
      <c r="J28" s="12"/>
    </row>
    <row r="29" spans="1:10" ht="15" x14ac:dyDescent="0.15">
      <c r="A29" s="23" t="e">
        <f>(-$E$23/2+SQRT($H$21))^(1/3)</f>
        <v>#NUM!</v>
      </c>
      <c r="B29" s="23" t="e">
        <f>(-$E$23/2-SQRT($H$21))^(1/3)</f>
        <v>#NUM!</v>
      </c>
      <c r="C29" s="23" t="e">
        <f>A29+B29</f>
        <v>#NUM!</v>
      </c>
      <c r="D29" s="17"/>
      <c r="G29" s="3" t="s">
        <v>43</v>
      </c>
      <c r="H29" s="18">
        <f>0.37464+1.54226*D4-0.26992*D4^2</f>
        <v>0.60282728831999999</v>
      </c>
      <c r="I29" s="23" t="s">
        <v>44</v>
      </c>
      <c r="J29" s="23"/>
    </row>
    <row r="30" spans="1:10" x14ac:dyDescent="0.15">
      <c r="G30" s="19" t="s">
        <v>46</v>
      </c>
      <c r="H30" s="21">
        <f>(1+kappa*(1-SQRT(Tr)))^2</f>
        <v>1.1271588782130753</v>
      </c>
      <c r="I30" s="11">
        <f>0.0777960739*I26*B4/C4</f>
        <v>56.295350967384707</v>
      </c>
      <c r="J30" s="12"/>
    </row>
    <row r="31" spans="1:10" x14ac:dyDescent="0.15">
      <c r="A31" t="s">
        <v>70</v>
      </c>
      <c r="I31" s="1" t="s">
        <v>48</v>
      </c>
      <c r="J31" s="16">
        <f>I28*B8/(I26*B7)^2</f>
        <v>1.867839949524111E-2</v>
      </c>
    </row>
    <row r="32" spans="1:10" ht="15" x14ac:dyDescent="0.2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2.2720693955798526E-3</v>
      </c>
    </row>
    <row r="33" spans="1:7" x14ac:dyDescent="0.15">
      <c r="A33" s="23">
        <f>2*SQRT(-D23/3)</f>
        <v>0.65084720927247475</v>
      </c>
      <c r="B33" s="23">
        <f>3*E23/D23/A33</f>
        <v>0.99981075349613413</v>
      </c>
      <c r="C33" s="23">
        <f>ACOS(B33)</f>
        <v>1.9455203581920655E-2</v>
      </c>
      <c r="D33" s="23">
        <f>C33/3</f>
        <v>6.4850678606402186E-3</v>
      </c>
      <c r="E33" s="23">
        <f>$A$33*COS($D$33)</f>
        <v>0.65083352327110267</v>
      </c>
      <c r="F33" s="23">
        <f>$A$33*COS($D$33+4*PI()/3)</f>
        <v>-0.32176147734856181</v>
      </c>
      <c r="G33" s="23">
        <f>$A$33*COS($D$33+2*PI()/3)</f>
        <v>-0.32907204592254097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workbookViewId="0">
      <selection activeCell="C14" sqref="C14:F14"/>
    </sheetView>
  </sheetViews>
  <sheetFormatPr baseColWidth="10" defaultColWidth="8.83203125" defaultRowHeight="13" x14ac:dyDescent="0.15"/>
  <cols>
    <col min="2" max="2" width="12.1640625" customWidth="1"/>
    <col min="3" max="3" width="20.6640625" customWidth="1"/>
  </cols>
  <sheetData>
    <row r="1" spans="2:8" x14ac:dyDescent="0.15">
      <c r="B1" t="s">
        <v>121</v>
      </c>
    </row>
    <row r="2" spans="2:8" x14ac:dyDescent="0.15">
      <c r="B2" t="s">
        <v>122</v>
      </c>
    </row>
    <row r="3" spans="2:8" x14ac:dyDescent="0.15">
      <c r="B3" t="s">
        <v>123</v>
      </c>
    </row>
    <row r="4" spans="2:8" x14ac:dyDescent="0.15">
      <c r="B4" t="s">
        <v>124</v>
      </c>
    </row>
    <row r="5" spans="2:8" x14ac:dyDescent="0.15">
      <c r="B5" t="s">
        <v>125</v>
      </c>
    </row>
    <row r="7" spans="2:8" x14ac:dyDescent="0.15">
      <c r="B7" s="92" t="s">
        <v>126</v>
      </c>
    </row>
    <row r="8" spans="2:8" x14ac:dyDescent="0.15">
      <c r="B8" s="92" t="s">
        <v>127</v>
      </c>
    </row>
    <row r="10" spans="2:8" x14ac:dyDescent="0.15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 x14ac:dyDescent="0.15">
      <c r="B11" t="s">
        <v>133</v>
      </c>
    </row>
    <row r="12" spans="2:8" x14ac:dyDescent="0.15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 x14ac:dyDescent="0.15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 x14ac:dyDescent="0.15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 x14ac:dyDescent="0.15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 x14ac:dyDescent="0.15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 x14ac:dyDescent="0.15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 x14ac:dyDescent="0.15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 x14ac:dyDescent="0.15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 x14ac:dyDescent="0.15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 x14ac:dyDescent="0.15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 x14ac:dyDescent="0.15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 x14ac:dyDescent="0.15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 x14ac:dyDescent="0.15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 x14ac:dyDescent="0.15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 x14ac:dyDescent="0.15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 x14ac:dyDescent="0.15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 x14ac:dyDescent="0.15">
      <c r="B28" t="s">
        <v>149</v>
      </c>
    </row>
    <row r="29" spans="2:8" x14ac:dyDescent="0.15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 x14ac:dyDescent="0.15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 x14ac:dyDescent="0.15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 x14ac:dyDescent="0.15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 x14ac:dyDescent="0.15">
      <c r="B33" t="s">
        <v>154</v>
      </c>
    </row>
    <row r="34" spans="2:8" x14ac:dyDescent="0.15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 x14ac:dyDescent="0.15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 x14ac:dyDescent="0.15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 x14ac:dyDescent="0.15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 x14ac:dyDescent="0.15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 x14ac:dyDescent="0.15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 x14ac:dyDescent="0.15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 x14ac:dyDescent="0.15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 x14ac:dyDescent="0.15">
      <c r="B42" t="s">
        <v>163</v>
      </c>
    </row>
    <row r="43" spans="2:8" x14ac:dyDescent="0.15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 x14ac:dyDescent="0.15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 x14ac:dyDescent="0.15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 x14ac:dyDescent="0.15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 x14ac:dyDescent="0.15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 x14ac:dyDescent="0.15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 x14ac:dyDescent="0.15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 x14ac:dyDescent="0.15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 x14ac:dyDescent="0.15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 x14ac:dyDescent="0.15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 x14ac:dyDescent="0.15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 x14ac:dyDescent="0.15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 x14ac:dyDescent="0.15">
      <c r="B55" t="s">
        <v>176</v>
      </c>
      <c r="C55" t="s">
        <v>177</v>
      </c>
    </row>
    <row r="56" spans="2:8" x14ac:dyDescent="0.15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 x14ac:dyDescent="0.15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 x14ac:dyDescent="0.15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 x14ac:dyDescent="0.15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 x14ac:dyDescent="0.15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 x14ac:dyDescent="0.15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 x14ac:dyDescent="0.15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 x14ac:dyDescent="0.15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 x14ac:dyDescent="0.15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 x14ac:dyDescent="0.15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 x14ac:dyDescent="0.15">
      <c r="B66" t="s">
        <v>190</v>
      </c>
    </row>
    <row r="67" spans="2:8" x14ac:dyDescent="0.15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 x14ac:dyDescent="0.15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 x14ac:dyDescent="0.15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 x14ac:dyDescent="0.15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 x14ac:dyDescent="0.15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 x14ac:dyDescent="0.15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 x14ac:dyDescent="0.15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 x14ac:dyDescent="0.15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 x14ac:dyDescent="0.15">
      <c r="B75" t="s">
        <v>199</v>
      </c>
    </row>
    <row r="76" spans="2:8" x14ac:dyDescent="0.15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 x14ac:dyDescent="0.15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 x14ac:dyDescent="0.15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 x14ac:dyDescent="0.15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 x14ac:dyDescent="0.15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 x14ac:dyDescent="0.15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 x14ac:dyDescent="0.15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 x14ac:dyDescent="0.15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 x14ac:dyDescent="0.15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 x14ac:dyDescent="0.15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 x14ac:dyDescent="0.15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 x14ac:dyDescent="0.15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 x14ac:dyDescent="0.15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 x14ac:dyDescent="0.15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 x14ac:dyDescent="0.15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 x14ac:dyDescent="0.15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 x14ac:dyDescent="0.15">
      <c r="B92" t="s">
        <v>216</v>
      </c>
    </row>
    <row r="93" spans="2:8" x14ac:dyDescent="0.15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 x14ac:dyDescent="0.15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 x14ac:dyDescent="0.15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 x14ac:dyDescent="0.15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 x14ac:dyDescent="0.15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 x14ac:dyDescent="0.15">
      <c r="B98" t="s">
        <v>222</v>
      </c>
    </row>
    <row r="99" spans="2:8" x14ac:dyDescent="0.15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 x14ac:dyDescent="0.15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 x14ac:dyDescent="0.15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 x14ac:dyDescent="0.15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 x14ac:dyDescent="0.15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 x14ac:dyDescent="0.15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2" zoomScale="145" zoomScaleNormal="145" workbookViewId="0">
      <selection activeCell="D17" sqref="D17:G17"/>
    </sheetView>
  </sheetViews>
  <sheetFormatPr baseColWidth="10" defaultColWidth="8.83203125" defaultRowHeight="13" x14ac:dyDescent="0.15"/>
  <cols>
    <col min="3" max="3" width="34.6640625" customWidth="1"/>
    <col min="4" max="4" width="11.33203125" customWidth="1"/>
  </cols>
  <sheetData>
    <row r="1" spans="2:7" x14ac:dyDescent="0.15">
      <c r="B1" t="s">
        <v>229</v>
      </c>
    </row>
    <row r="2" spans="2:7" x14ac:dyDescent="0.15">
      <c r="B2" t="s">
        <v>230</v>
      </c>
    </row>
    <row r="3" spans="2:7" x14ac:dyDescent="0.15">
      <c r="B3" t="s">
        <v>231</v>
      </c>
    </row>
    <row r="4" spans="2:7" x14ac:dyDescent="0.15">
      <c r="B4" t="s">
        <v>232</v>
      </c>
    </row>
    <row r="5" spans="2:7" x14ac:dyDescent="0.15">
      <c r="B5" t="s">
        <v>233</v>
      </c>
    </row>
    <row r="7" spans="2:7" x14ac:dyDescent="0.15">
      <c r="B7" s="92" t="s">
        <v>126</v>
      </c>
    </row>
    <row r="8" spans="2:7" x14ac:dyDescent="0.15">
      <c r="B8" s="92" t="s">
        <v>127</v>
      </c>
    </row>
    <row r="10" spans="2:7" x14ac:dyDescent="0.15">
      <c r="B10" t="s">
        <v>234</v>
      </c>
    </row>
    <row r="11" spans="2:7" x14ac:dyDescent="0.15">
      <c r="B11" t="s">
        <v>235</v>
      </c>
    </row>
    <row r="13" spans="2:7" x14ac:dyDescent="0.15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 x14ac:dyDescent="0.15">
      <c r="B14" t="s">
        <v>133</v>
      </c>
    </row>
    <row r="15" spans="2:7" x14ac:dyDescent="0.15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 x14ac:dyDescent="0.15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 x14ac:dyDescent="0.15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 x14ac:dyDescent="0.15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 x14ac:dyDescent="0.15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 x14ac:dyDescent="0.15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 x14ac:dyDescent="0.15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 x14ac:dyDescent="0.15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 x14ac:dyDescent="0.15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 x14ac:dyDescent="0.15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 x14ac:dyDescent="0.15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 x14ac:dyDescent="0.15">
      <c r="B26">
        <v>41</v>
      </c>
      <c r="C26" t="s">
        <v>238</v>
      </c>
      <c r="E26" s="91"/>
      <c r="F26" s="91"/>
      <c r="G26" s="91"/>
    </row>
    <row r="27" spans="2:7" x14ac:dyDescent="0.15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 x14ac:dyDescent="0.15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 x14ac:dyDescent="0.15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 x14ac:dyDescent="0.15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 x14ac:dyDescent="0.15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 x14ac:dyDescent="0.15">
      <c r="B32" t="s">
        <v>149</v>
      </c>
    </row>
    <row r="33" spans="2:7" x14ac:dyDescent="0.15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 x14ac:dyDescent="0.15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 x14ac:dyDescent="0.15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 x14ac:dyDescent="0.15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 x14ac:dyDescent="0.15">
      <c r="B37">
        <v>153</v>
      </c>
      <c r="C37" t="s">
        <v>239</v>
      </c>
      <c r="D37" s="91"/>
      <c r="E37" s="91"/>
      <c r="F37" s="91"/>
      <c r="G37" s="91"/>
    </row>
    <row r="38" spans="2:7" x14ac:dyDescent="0.15">
      <c r="B38">
        <v>154</v>
      </c>
      <c r="C38" t="s">
        <v>240</v>
      </c>
      <c r="D38" s="91"/>
      <c r="E38" s="91"/>
      <c r="F38" s="91"/>
      <c r="G38" s="91"/>
    </row>
    <row r="39" spans="2:7" x14ac:dyDescent="0.15">
      <c r="B39" t="s">
        <v>241</v>
      </c>
    </row>
    <row r="40" spans="2:7" x14ac:dyDescent="0.15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 x14ac:dyDescent="0.15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 x14ac:dyDescent="0.15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 x14ac:dyDescent="0.15">
      <c r="B43">
        <v>205</v>
      </c>
      <c r="C43" t="s">
        <v>242</v>
      </c>
      <c r="E43" s="91"/>
      <c r="F43" s="91"/>
      <c r="G43" s="91"/>
    </row>
    <row r="44" spans="2:7" x14ac:dyDescent="0.15">
      <c r="B44">
        <v>206</v>
      </c>
      <c r="C44" t="s">
        <v>243</v>
      </c>
      <c r="E44" s="91"/>
      <c r="F44" s="91"/>
      <c r="G44" s="91"/>
    </row>
    <row r="45" spans="2:7" x14ac:dyDescent="0.15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 x14ac:dyDescent="0.15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 x14ac:dyDescent="0.15">
      <c r="B47">
        <v>216</v>
      </c>
      <c r="C47" t="s">
        <v>245</v>
      </c>
    </row>
    <row r="48" spans="2:7" x14ac:dyDescent="0.15">
      <c r="B48">
        <v>260</v>
      </c>
      <c r="C48" t="s">
        <v>246</v>
      </c>
    </row>
    <row r="49" spans="2:7" x14ac:dyDescent="0.15">
      <c r="B49">
        <v>270</v>
      </c>
      <c r="C49" t="s">
        <v>247</v>
      </c>
    </row>
    <row r="50" spans="2:7" x14ac:dyDescent="0.15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 x14ac:dyDescent="0.15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 x14ac:dyDescent="0.15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 x14ac:dyDescent="0.15">
      <c r="B53" t="s">
        <v>249</v>
      </c>
    </row>
    <row r="54" spans="2:7" x14ac:dyDescent="0.15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 x14ac:dyDescent="0.15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 x14ac:dyDescent="0.15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 x14ac:dyDescent="0.15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 x14ac:dyDescent="0.15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 x14ac:dyDescent="0.15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 x14ac:dyDescent="0.15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 x14ac:dyDescent="0.15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 x14ac:dyDescent="0.15">
      <c r="B62">
        <v>601</v>
      </c>
      <c r="C62" t="s">
        <v>255</v>
      </c>
    </row>
    <row r="63" spans="2:7" x14ac:dyDescent="0.15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 x14ac:dyDescent="0.15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 x14ac:dyDescent="0.15">
      <c r="B65">
        <v>706</v>
      </c>
      <c r="C65" t="s">
        <v>256</v>
      </c>
    </row>
    <row r="66" spans="2:7" x14ac:dyDescent="0.15">
      <c r="B66">
        <v>803</v>
      </c>
      <c r="C66" t="s">
        <v>257</v>
      </c>
    </row>
    <row r="67" spans="2:7" x14ac:dyDescent="0.15">
      <c r="B67">
        <v>805</v>
      </c>
      <c r="C67" t="s">
        <v>258</v>
      </c>
    </row>
    <row r="68" spans="2:7" x14ac:dyDescent="0.15">
      <c r="B68" t="s">
        <v>259</v>
      </c>
    </row>
    <row r="69" spans="2:7" x14ac:dyDescent="0.15">
      <c r="B69">
        <v>1001</v>
      </c>
      <c r="C69" t="s">
        <v>260</v>
      </c>
    </row>
    <row r="70" spans="2:7" x14ac:dyDescent="0.15">
      <c r="B70">
        <v>1002</v>
      </c>
      <c r="C70" t="s">
        <v>261</v>
      </c>
    </row>
    <row r="71" spans="2:7" x14ac:dyDescent="0.15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 x14ac:dyDescent="0.15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 x14ac:dyDescent="0.15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 x14ac:dyDescent="0.15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 x14ac:dyDescent="0.15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 x14ac:dyDescent="0.15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 x14ac:dyDescent="0.15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 x14ac:dyDescent="0.15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 x14ac:dyDescent="0.15">
      <c r="B79">
        <v>1114</v>
      </c>
      <c r="C79" t="s">
        <v>264</v>
      </c>
      <c r="E79" s="91"/>
      <c r="F79" s="91"/>
      <c r="G79" s="91"/>
    </row>
    <row r="80" spans="2:7" x14ac:dyDescent="0.15">
      <c r="B80">
        <v>1181</v>
      </c>
      <c r="C80" t="s">
        <v>265</v>
      </c>
      <c r="E80" s="91"/>
      <c r="F80" s="91"/>
      <c r="G80" s="91"/>
    </row>
    <row r="81" spans="2:7" x14ac:dyDescent="0.15">
      <c r="B81">
        <v>1201</v>
      </c>
      <c r="C81" t="s">
        <v>266</v>
      </c>
      <c r="E81" s="91"/>
      <c r="F81" s="91"/>
      <c r="G81" s="91"/>
    </row>
    <row r="82" spans="2:7" x14ac:dyDescent="0.15">
      <c r="B82">
        <v>1211</v>
      </c>
      <c r="C82" t="s">
        <v>267</v>
      </c>
      <c r="E82" s="91"/>
      <c r="F82" s="91"/>
      <c r="G82" s="91"/>
    </row>
    <row r="83" spans="2:7" x14ac:dyDescent="0.15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 x14ac:dyDescent="0.15">
      <c r="B84">
        <v>1256</v>
      </c>
      <c r="C84" t="s">
        <v>268</v>
      </c>
      <c r="E84" s="91"/>
      <c r="F84" s="91"/>
      <c r="G84" s="91"/>
    </row>
    <row r="85" spans="2:7" x14ac:dyDescent="0.15">
      <c r="B85">
        <v>1281</v>
      </c>
      <c r="C85" t="s">
        <v>269</v>
      </c>
      <c r="E85" s="91"/>
      <c r="F85" s="91"/>
      <c r="G85" s="91"/>
    </row>
    <row r="86" spans="2:7" x14ac:dyDescent="0.15">
      <c r="B86">
        <v>1289</v>
      </c>
      <c r="C86" t="s">
        <v>270</v>
      </c>
      <c r="E86" s="91"/>
      <c r="F86" s="91"/>
      <c r="G86" s="91"/>
    </row>
    <row r="87" spans="2:7" x14ac:dyDescent="0.15">
      <c r="B87">
        <v>1312</v>
      </c>
      <c r="C87" t="s">
        <v>271</v>
      </c>
      <c r="E87" s="91"/>
      <c r="F87" s="91"/>
      <c r="G87" s="91"/>
    </row>
    <row r="88" spans="2:7" x14ac:dyDescent="0.15">
      <c r="B88">
        <v>1313</v>
      </c>
      <c r="C88" t="s">
        <v>272</v>
      </c>
      <c r="E88" s="91"/>
      <c r="F88" s="91"/>
      <c r="G88" s="91"/>
    </row>
    <row r="89" spans="2:7" x14ac:dyDescent="0.15">
      <c r="B89">
        <v>1381</v>
      </c>
      <c r="C89" t="s">
        <v>273</v>
      </c>
      <c r="E89" s="91"/>
      <c r="F89" s="91"/>
      <c r="G89" s="91"/>
    </row>
    <row r="90" spans="2:7" x14ac:dyDescent="0.15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 x14ac:dyDescent="0.15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 x14ac:dyDescent="0.15">
      <c r="B92">
        <v>1403</v>
      </c>
      <c r="C92" t="s">
        <v>275</v>
      </c>
      <c r="D92" s="91"/>
      <c r="E92" s="91"/>
      <c r="F92" s="91"/>
      <c r="G92" s="91"/>
    </row>
    <row r="93" spans="2:7" x14ac:dyDescent="0.15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 x14ac:dyDescent="0.15">
      <c r="B94" t="s">
        <v>190</v>
      </c>
    </row>
    <row r="95" spans="2:7" x14ac:dyDescent="0.15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 x14ac:dyDescent="0.15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 x14ac:dyDescent="0.15">
      <c r="B97">
        <v>1503</v>
      </c>
      <c r="C97" t="s">
        <v>278</v>
      </c>
      <c r="D97" s="91"/>
      <c r="E97" s="91"/>
      <c r="F97" s="91"/>
      <c r="G97" s="91"/>
    </row>
    <row r="98" spans="2:7" x14ac:dyDescent="0.15">
      <c r="B98">
        <v>1511</v>
      </c>
      <c r="C98" t="s">
        <v>279</v>
      </c>
      <c r="D98" s="91"/>
      <c r="E98" s="91"/>
      <c r="F98" s="91"/>
      <c r="G98" s="91"/>
    </row>
    <row r="99" spans="2:7" x14ac:dyDescent="0.15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 x14ac:dyDescent="0.15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 x14ac:dyDescent="0.15">
      <c r="B101">
        <v>1591</v>
      </c>
      <c r="C101" t="s">
        <v>282</v>
      </c>
      <c r="D101" s="91"/>
      <c r="E101" s="91"/>
      <c r="F101" s="91"/>
      <c r="G101" s="91"/>
    </row>
    <row r="102" spans="2:7" x14ac:dyDescent="0.15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 x14ac:dyDescent="0.15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 x14ac:dyDescent="0.15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 x14ac:dyDescent="0.15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 x14ac:dyDescent="0.15">
      <c r="B106" t="s">
        <v>199</v>
      </c>
    </row>
    <row r="107" spans="2:7" x14ac:dyDescent="0.15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 x14ac:dyDescent="0.15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 x14ac:dyDescent="0.15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 x14ac:dyDescent="0.15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 x14ac:dyDescent="0.15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 x14ac:dyDescent="0.15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 x14ac:dyDescent="0.15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 x14ac:dyDescent="0.15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 x14ac:dyDescent="0.15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 x14ac:dyDescent="0.15">
      <c r="B116">
        <v>913</v>
      </c>
      <c r="C116" t="s">
        <v>203</v>
      </c>
      <c r="D116" s="91">
        <v>20.8</v>
      </c>
    </row>
    <row r="117" spans="2:7" x14ac:dyDescent="0.15">
      <c r="B117">
        <v>914</v>
      </c>
      <c r="C117" t="s">
        <v>200</v>
      </c>
      <c r="D117" s="91">
        <v>20.8</v>
      </c>
    </row>
    <row r="118" spans="2:7" x14ac:dyDescent="0.15">
      <c r="B118">
        <v>917</v>
      </c>
      <c r="C118" t="s">
        <v>289</v>
      </c>
      <c r="D118" s="91"/>
      <c r="E118" s="91"/>
      <c r="F118" s="91"/>
      <c r="G118" s="91"/>
    </row>
    <row r="119" spans="2:7" x14ac:dyDescent="0.15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 x14ac:dyDescent="0.15">
      <c r="B120">
        <v>919</v>
      </c>
      <c r="C120" t="s">
        <v>205</v>
      </c>
      <c r="D120" s="91">
        <v>20.8</v>
      </c>
    </row>
    <row r="121" spans="2:7" x14ac:dyDescent="0.15">
      <c r="B121">
        <v>920</v>
      </c>
      <c r="C121" t="s">
        <v>204</v>
      </c>
      <c r="D121" s="91">
        <v>20.8</v>
      </c>
    </row>
    <row r="122" spans="2:7" x14ac:dyDescent="0.15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 x14ac:dyDescent="0.15">
      <c r="B123">
        <v>959</v>
      </c>
      <c r="C123" t="s">
        <v>206</v>
      </c>
      <c r="D123" s="91">
        <v>20.8</v>
      </c>
    </row>
    <row r="124" spans="2:7" x14ac:dyDescent="0.15">
      <c r="B124" t="s">
        <v>290</v>
      </c>
    </row>
    <row r="125" spans="2:7" x14ac:dyDescent="0.15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 x14ac:dyDescent="0.15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 x14ac:dyDescent="0.15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 x14ac:dyDescent="0.15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 x14ac:dyDescent="0.15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 x14ac:dyDescent="0.15">
      <c r="B130" t="s">
        <v>222</v>
      </c>
    </row>
    <row r="131" spans="2:7" x14ac:dyDescent="0.15">
      <c r="B131">
        <v>1701</v>
      </c>
      <c r="C131" t="s">
        <v>291</v>
      </c>
    </row>
    <row r="132" spans="2:7" x14ac:dyDescent="0.15">
      <c r="B132">
        <v>1704</v>
      </c>
      <c r="C132" t="s">
        <v>292</v>
      </c>
    </row>
    <row r="133" spans="2:7" x14ac:dyDescent="0.15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 x14ac:dyDescent="0.15">
      <c r="B134">
        <v>1801</v>
      </c>
      <c r="C134" t="s">
        <v>294</v>
      </c>
      <c r="D134" s="91"/>
      <c r="E134" s="91"/>
      <c r="F134" s="91"/>
      <c r="G134" s="91"/>
    </row>
    <row r="135" spans="2:7" x14ac:dyDescent="0.15">
      <c r="B135">
        <v>1802</v>
      </c>
      <c r="C135" t="s">
        <v>295</v>
      </c>
      <c r="D135" s="91"/>
      <c r="E135" s="91"/>
      <c r="F135" s="91"/>
      <c r="G135" s="91"/>
    </row>
    <row r="136" spans="2:7" x14ac:dyDescent="0.15">
      <c r="B136">
        <v>1820</v>
      </c>
      <c r="C136" t="s">
        <v>296</v>
      </c>
      <c r="D136" s="91"/>
      <c r="E136" s="91"/>
      <c r="F136" s="91"/>
      <c r="G136" s="91"/>
    </row>
    <row r="137" spans="2:7" x14ac:dyDescent="0.15">
      <c r="B137">
        <v>1877</v>
      </c>
      <c r="C137" t="s">
        <v>297</v>
      </c>
      <c r="D137" s="91"/>
      <c r="E137" s="91"/>
      <c r="F137" s="91"/>
      <c r="G137" s="91"/>
    </row>
    <row r="138" spans="2:7" x14ac:dyDescent="0.15">
      <c r="B138">
        <v>1901</v>
      </c>
      <c r="C138" t="s">
        <v>298</v>
      </c>
      <c r="D138" s="91"/>
      <c r="E138" s="91"/>
      <c r="F138" s="91"/>
      <c r="G138" s="91"/>
    </row>
    <row r="139" spans="2:7" x14ac:dyDescent="0.15">
      <c r="B139">
        <v>1902</v>
      </c>
      <c r="C139" t="s">
        <v>299</v>
      </c>
      <c r="D139" s="91"/>
      <c r="E139" s="91"/>
      <c r="F139" s="91"/>
      <c r="G139" s="91"/>
    </row>
    <row r="140" spans="2:7" x14ac:dyDescent="0.15">
      <c r="B140">
        <v>1903</v>
      </c>
      <c r="C140" t="s">
        <v>300</v>
      </c>
      <c r="D140" s="91"/>
      <c r="E140" s="91"/>
      <c r="F140" s="91"/>
      <c r="G140" s="91"/>
    </row>
    <row r="141" spans="2:7" x14ac:dyDescent="0.15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 x14ac:dyDescent="0.15">
      <c r="B142">
        <v>1912</v>
      </c>
      <c r="C142" t="s">
        <v>302</v>
      </c>
    </row>
    <row r="143" spans="2:7" x14ac:dyDescent="0.15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 x14ac:dyDescent="0.15"/>
  <sheetData>
    <row r="6" spans="2:3" x14ac:dyDescent="0.15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2020-03-03T03:30:49Z</dcterms:modified>
</cp:coreProperties>
</file>