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7 Excel/"/>
    </mc:Choice>
  </mc:AlternateContent>
  <xr:revisionPtr revIDLastSave="0" documentId="10_ncr:8100000_{32196AD4-09A9-074E-8608-D929B1F94767}" xr6:coauthVersionLast="34" xr6:coauthVersionMax="34" xr10:uidLastSave="{00000000-0000-0000-0000-000000000000}"/>
  <bookViews>
    <workbookView xWindow="0" yWindow="460" windowWidth="24980" windowHeight="155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Props!$B$8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Props!$D$12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67.282048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3" l="1"/>
  <c r="P8" i="3"/>
  <c r="O8" i="3"/>
  <c r="O9" i="3"/>
  <c r="P7" i="3"/>
  <c r="O7" i="3"/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/>
  <c r="A4" i="4"/>
  <c r="L4" i="3"/>
  <c r="H27" i="3" l="1"/>
  <c r="I25" i="3" s="1"/>
  <c r="J28" i="3" s="1"/>
  <c r="C20" i="3" s="1"/>
  <c r="H30" i="4"/>
  <c r="I28" i="4" s="1"/>
  <c r="J31" i="4" s="1"/>
  <c r="C18" i="2"/>
  <c r="E18" i="2" s="1"/>
  <c r="B18" i="2"/>
  <c r="D18" i="2" s="1"/>
  <c r="A26" i="2" s="1"/>
  <c r="I30" i="4"/>
  <c r="J32" i="4" s="1"/>
  <c r="A23" i="4" s="1"/>
  <c r="B20" i="3" l="1"/>
  <c r="D20" i="3" s="1"/>
  <c r="A30" i="3" s="1"/>
  <c r="B26" i="2"/>
  <c r="C26" i="2" s="1"/>
  <c r="D26" i="2" s="1"/>
  <c r="E26" i="2" s="1"/>
  <c r="C9" i="2" s="1"/>
  <c r="H16" i="2"/>
  <c r="B22" i="2" s="1"/>
  <c r="B23" i="4"/>
  <c r="D23" i="4" s="1"/>
  <c r="A33" i="4" s="1"/>
  <c r="C23" i="4"/>
  <c r="E20" i="3" l="1"/>
  <c r="B30" i="3" s="1"/>
  <c r="C30" i="3" s="1"/>
  <c r="D30" i="3" s="1"/>
  <c r="E23" i="4"/>
  <c r="H21" i="4" s="1"/>
  <c r="B29" i="4" s="1"/>
  <c r="D9" i="2"/>
  <c r="E9" i="2"/>
  <c r="F26" i="2"/>
  <c r="C10" i="2" s="1"/>
  <c r="D10" i="2" s="1"/>
  <c r="A22" i="2"/>
  <c r="C22" i="2" s="1"/>
  <c r="C12" i="2" s="1"/>
  <c r="G26" i="2"/>
  <c r="C11" i="2" s="1"/>
  <c r="H18" i="3" l="1"/>
  <c r="A26" i="3" s="1"/>
  <c r="B33" i="4"/>
  <c r="C33" i="4" s="1"/>
  <c r="D33" i="4" s="1"/>
  <c r="F33" i="4" s="1"/>
  <c r="E10" i="4" s="1"/>
  <c r="F10" i="4" s="1"/>
  <c r="E11" i="2"/>
  <c r="D11" i="2"/>
  <c r="D12" i="2"/>
  <c r="E12" i="2"/>
  <c r="A29" i="4"/>
  <c r="C29" i="4" s="1"/>
  <c r="E12" i="4" s="1"/>
  <c r="C18" i="4" s="1"/>
  <c r="E30" i="3"/>
  <c r="C9" i="3" s="1"/>
  <c r="F30" i="3"/>
  <c r="C10" i="3" s="1"/>
  <c r="G30" i="3"/>
  <c r="C11" i="3" s="1"/>
  <c r="H12" i="2"/>
  <c r="B26" i="3" l="1"/>
  <c r="C26" i="3" s="1"/>
  <c r="C12" i="3" s="1"/>
  <c r="K12" i="3" s="1"/>
  <c r="E33" i="4"/>
  <c r="E9" i="4" s="1"/>
  <c r="G9" i="4" s="1"/>
  <c r="G33" i="4"/>
  <c r="E11" i="4" s="1"/>
  <c r="H11" i="4" s="1"/>
  <c r="I11" i="4" s="1"/>
  <c r="H9" i="4"/>
  <c r="I9" i="4" s="1"/>
  <c r="J9" i="4"/>
  <c r="F9" i="4"/>
  <c r="J11" i="4"/>
  <c r="G11" i="4"/>
  <c r="D11" i="3"/>
  <c r="I11" i="3"/>
  <c r="K11" i="3"/>
  <c r="E11" i="3"/>
  <c r="I10" i="3"/>
  <c r="K10" i="3"/>
  <c r="D10" i="3"/>
  <c r="E18" i="4"/>
  <c r="D18" i="4"/>
  <c r="D9" i="3"/>
  <c r="K9" i="3"/>
  <c r="I9" i="3"/>
  <c r="E9" i="3"/>
  <c r="G12" i="4"/>
  <c r="H12" i="4"/>
  <c r="I12" i="4" s="1"/>
  <c r="F12" i="4"/>
  <c r="J12" i="4"/>
  <c r="F19" i="4" s="1"/>
  <c r="I12" i="3" l="1"/>
  <c r="J12" i="3" s="1"/>
  <c r="D12" i="3"/>
  <c r="E12" i="3"/>
  <c r="F11" i="4"/>
  <c r="E19" i="4"/>
  <c r="H9" i="3"/>
  <c r="H11" i="3"/>
  <c r="D19" i="4"/>
  <c r="H10" i="3"/>
  <c r="H12" i="3"/>
  <c r="E14" i="3"/>
  <c r="L15" i="3"/>
  <c r="J9" i="3"/>
  <c r="J11" i="3"/>
  <c r="J10" i="3"/>
  <c r="N14" i="3" l="1"/>
  <c r="M17" i="3"/>
  <c r="F12" i="3"/>
  <c r="G12" i="3" s="1"/>
  <c r="F11" i="3"/>
  <c r="G11" i="3" s="1"/>
  <c r="F10" i="3"/>
  <c r="G10" i="3" s="1"/>
  <c r="F9" i="3"/>
  <c r="G9" i="3" s="1"/>
</calcChain>
</file>

<file path=xl/sharedStrings.xml><?xml version="1.0" encoding="utf-8"?>
<sst xmlns="http://schemas.openxmlformats.org/spreadsheetml/2006/main" count="510" uniqueCount="318">
  <si>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</si>
  <si>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</si>
  <si>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</si>
  <si>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</si>
  <si>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</si>
  <si>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</si>
  <si>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</si>
  <si>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</si>
  <si>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</si>
  <si>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</si>
  <si>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</si>
  <si>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</si>
  <si>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</si>
  <si>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</si>
  <si>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</si>
  <si>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</si>
  <si>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</si>
  <si>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</si>
  <si>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</si>
  <si>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</si>
  <si>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</si>
  <si>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</si>
  <si>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</si>
  <si>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</si>
  <si>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</si>
  <si>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</si>
  <si>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</si>
  <si>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</si>
  <si>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</si>
  <si>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</si>
  <si>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</si>
  <si>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</si>
  <si>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</si>
  <si>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</si>
  <si>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</si>
  <si>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</si>
  <si>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</si>
  <si>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</si>
  <si>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</si>
  <si>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</si>
  <si>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</si>
  <si>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</si>
  <si>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</si>
  <si>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</si>
  <si>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</si>
  <si>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</si>
  <si>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</si>
  <si>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</si>
  <si>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</si>
  <si>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</si>
  <si>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</si>
  <si>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</si>
  <si>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</si>
  <si>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</si>
  <si>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</si>
  <si>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</si>
  <si>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</si>
  <si>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</si>
  <si>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</si>
  <si>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</si>
  <si>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</si>
  <si>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</si>
  <si>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</si>
  <si>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</si>
  <si>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</si>
  <si>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</si>
  <si>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</si>
  <si>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</si>
  <si>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</si>
  <si>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</si>
  <si>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</si>
  <si>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</si>
  <si>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</si>
  <si>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</si>
  <si>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</si>
  <si>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</si>
  <si>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</si>
  <si>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</si>
  <si>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</si>
  <si>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</si>
  <si>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</si>
  <si>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</si>
  <si>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</si>
  <si>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</si>
  <si>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</si>
  <si>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</si>
  <si>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</si>
  <si>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</si>
  <si>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</si>
  <si>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</si>
  <si>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</si>
  <si>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</si>
  <si>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</si>
  <si>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</si>
  <si>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</si>
  <si>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</si>
  <si>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</si>
  <si>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</si>
  <si>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</si>
  <si>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</si>
  <si>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</si>
  <si>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</si>
  <si>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</si>
  <si>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</si>
  <si>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</si>
  <si>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</si>
  <si>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</si>
  <si>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</si>
  <si>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</si>
  <si>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</si>
  <si>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</si>
  <si>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</si>
  <si>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</si>
  <si>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</si>
  <si>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</si>
  <si>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</si>
  <si>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</si>
  <si>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</si>
  <si>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</si>
  <si>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</si>
  <si>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</si>
  <si>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</si>
  <si>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</si>
  <si>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</si>
  <si>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</si>
  <si>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</si>
  <si>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</si>
  <si>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</si>
  <si>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</si>
  <si>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</si>
  <si>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</si>
  <si>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</si>
  <si>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</si>
  <si>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</si>
  <si>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</si>
  <si>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</si>
  <si>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</si>
  <si>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</si>
  <si>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</si>
  <si>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</si>
  <si>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</si>
  <si>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</si>
  <si>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</si>
  <si>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</si>
  <si>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</si>
  <si>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</si>
  <si>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</si>
  <si>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</si>
  <si>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</si>
  <si>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</si>
  <si>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</si>
  <si>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</si>
  <si>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</si>
  <si>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</si>
  <si>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</si>
  <si>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</si>
  <si>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</si>
  <si>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</si>
  <si>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</si>
  <si>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</si>
  <si>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</si>
  <si>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</si>
  <si>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</si>
  <si>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</si>
  <si>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</si>
  <si>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</si>
  <si>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</si>
  <si>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</si>
  <si>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</si>
  <si>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</si>
  <si>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</si>
  <si>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</si>
  <si>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</si>
  <si>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</si>
  <si>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</si>
  <si>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</si>
  <si>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</si>
  <si>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</si>
  <si>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</si>
  <si>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</si>
  <si>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</si>
  <si>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</si>
  <si>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</si>
  <si>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</si>
  <si>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</si>
  <si>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</si>
  <si>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</si>
  <si>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</si>
  <si>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</si>
  <si>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</si>
  <si>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</si>
  <si>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</si>
  <si>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</si>
  <si>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</si>
  <si>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</si>
  <si>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</si>
  <si>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</si>
  <si>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</si>
  <si>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</si>
  <si>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</si>
  <si>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</si>
  <si>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</si>
  <si>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</si>
  <si>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</si>
  <si>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</si>
  <si>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</si>
  <si>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</si>
  <si>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</si>
  <si>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</si>
  <si>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</si>
  <si>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</si>
  <si>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</si>
  <si>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</si>
  <si>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</si>
  <si>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</si>
  <si>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</si>
  <si>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</si>
  <si>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</si>
  <si>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</si>
  <si>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</si>
  <si>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</si>
  <si>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</si>
  <si>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</si>
  <si>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</si>
  <si>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</si>
  <si>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</si>
  <si>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</si>
  <si>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</si>
  <si>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</si>
  <si>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</si>
  <si>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</si>
  <si>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</si>
  <si>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</si>
  <si>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</si>
  <si>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</si>
  <si>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</si>
  <si>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</si>
  <si>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</si>
  <si>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</si>
  <si>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</si>
  <si>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</si>
  <si>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</si>
  <si>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</si>
  <si>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</si>
  <si>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</si>
  <si>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</si>
  <si>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</si>
  <si>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</si>
  <si>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</si>
  <si>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</si>
  <si>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</si>
  <si>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</si>
  <si>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</si>
  <si>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</si>
  <si>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</si>
  <si>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</si>
  <si>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</si>
  <si>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</si>
  <si>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</si>
  <si>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</si>
  <si>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</si>
  <si>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</si>
  <si>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</si>
  <si>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</si>
  <si>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</si>
  <si>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</si>
  <si>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</si>
  <si>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</si>
  <si>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</si>
  <si>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</si>
  <si>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</si>
  <si>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</si>
  <si>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</si>
  <si>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</si>
  <si>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</si>
  <si>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</si>
  <si>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</si>
  <si>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</si>
  <si>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</si>
  <si>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</si>
  <si>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</si>
  <si>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</si>
  <si>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</si>
  <si>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</si>
  <si>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</si>
  <si>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</si>
  <si>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</si>
  <si>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</si>
  <si>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</si>
  <si>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</si>
  <si>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</si>
  <si>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</si>
  <si>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</si>
  <si>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</si>
  <si>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</si>
  <si>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</si>
  <si>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</si>
  <si>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</si>
  <si>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</si>
  <si>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</si>
  <si>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</si>
  <si>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</si>
  <si>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</si>
  <si>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</si>
  <si>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</si>
  <si>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</si>
  <si>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</si>
  <si>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</si>
  <si>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Tr</t>
  </si>
  <si>
    <t>pr</t>
  </si>
  <si>
    <t>Tk</t>
  </si>
  <si>
    <t>Pmpa</t>
  </si>
  <si>
    <t>PP 7.5</t>
  </si>
  <si>
    <t xml:space="preserve">Moles = </t>
  </si>
  <si>
    <t>Moles</t>
  </si>
  <si>
    <t>Final volume 7.5 pp</t>
  </si>
  <si>
    <t>m^3</t>
  </si>
  <si>
    <t>15.9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</si>
</sst>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tabSelected="1" zoomScale="130" zoomScaleNormal="130" zoomScalePageLayoutView="130" workbookViewId="0">
      <selection activeCell="B9" sqref="B9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6" x14ac:dyDescent="0.15">
      <c r="A1" t="s">
        <v>20</v>
      </c>
      <c r="F1" t="s">
        <v>21</v>
      </c>
    </row>
    <row r="2" spans="1:16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6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6" x14ac:dyDescent="0.15">
      <c r="A4" t="s">
        <v>137</v>
      </c>
      <c r="B4">
        <v>408.1</v>
      </c>
      <c r="C4">
        <v>3.6480000000000001</v>
      </c>
      <c r="D4">
        <v>0.17699999999999999</v>
      </c>
      <c r="E4">
        <v>-1.39</v>
      </c>
      <c r="F4" s="91">
        <v>0.38469999999999999</v>
      </c>
      <c r="G4" s="91">
        <v>-1.8459999999999999E-4</v>
      </c>
      <c r="H4" s="91">
        <v>2.8950000000000001E-8</v>
      </c>
      <c r="I4" s="20"/>
      <c r="J4" s="4">
        <f>CPA*(TK-TREF)+CPB/2*(TK^2-TREF^2)+CPC/3*(TK^3-TREF^3)+CPD/4*(TK^4-TREF^4)</f>
        <v>17645.529893384999</v>
      </c>
      <c r="K4" s="20">
        <f>J4-_R*(TK-TREF)</f>
        <v>16398.359093384999</v>
      </c>
      <c r="L4" s="21">
        <f>CPA*LN(TK/TREF)+CPB*(TK-TREF)+CPC/2*(TK^2-TREF^2)+CPD/3*(TK^3-TREF^3)-_R*LN(P/PREF)</f>
        <v>12.098242491033055</v>
      </c>
    </row>
    <row r="5" spans="1:16" ht="14" thickBot="1" x14ac:dyDescent="0.2"/>
    <row r="6" spans="1:16" ht="14" thickBot="1" x14ac:dyDescent="0.2">
      <c r="A6" s="9" t="s">
        <v>29</v>
      </c>
      <c r="B6" s="10"/>
      <c r="C6" s="31" t="s">
        <v>30</v>
      </c>
      <c r="D6" s="32"/>
      <c r="E6" t="s">
        <v>51</v>
      </c>
      <c r="M6" t="s">
        <v>308</v>
      </c>
      <c r="N6" t="s">
        <v>309</v>
      </c>
      <c r="O6" t="s">
        <v>310</v>
      </c>
      <c r="P6" t="s">
        <v>311</v>
      </c>
    </row>
    <row r="7" spans="1:16" ht="16" thickTop="1" x14ac:dyDescent="0.15">
      <c r="A7" s="5" t="s">
        <v>32</v>
      </c>
      <c r="B7" s="48">
        <v>448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  <c r="M7">
        <v>0.9</v>
      </c>
      <c r="N7">
        <v>0.77</v>
      </c>
      <c r="O7">
        <f>M7*Tc</f>
        <v>367.29</v>
      </c>
      <c r="P7">
        <f>N7*C4</f>
        <v>2.8089600000000003</v>
      </c>
    </row>
    <row r="8" spans="1:16" ht="16" thickBot="1" x14ac:dyDescent="0.2">
      <c r="A8" s="7" t="s">
        <v>38</v>
      </c>
      <c r="B8" s="49">
        <v>7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  <c r="M8">
        <v>0.9</v>
      </c>
      <c r="N8">
        <v>0.5</v>
      </c>
      <c r="O8">
        <f>M8*Tc</f>
        <v>367.29</v>
      </c>
      <c r="P8">
        <f>N8*C4</f>
        <v>1.8240000000000001</v>
      </c>
    </row>
    <row r="9" spans="1:16" x14ac:dyDescent="0.15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  <c r="M9">
        <v>1.1000000000000001</v>
      </c>
      <c r="N9">
        <v>2</v>
      </c>
      <c r="O9">
        <f>M9*Tc</f>
        <v>448.91000000000008</v>
      </c>
      <c r="P9">
        <f>N9*C4</f>
        <v>7.2960000000000003</v>
      </c>
    </row>
    <row r="10" spans="1:16" x14ac:dyDescent="0.15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</row>
    <row r="11" spans="1:16" ht="14" thickBot="1" x14ac:dyDescent="0.2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</row>
    <row r="12" spans="1:16" ht="14" thickBot="1" x14ac:dyDescent="0.2">
      <c r="A12" s="40" t="s">
        <v>49</v>
      </c>
      <c r="B12" s="55"/>
      <c r="C12" s="35">
        <f>C26-A20/3</f>
        <v>0.42306764205566605</v>
      </c>
      <c r="D12" s="32">
        <f>C12*$I$23*$B$7/$B$8</f>
        <v>225.12538009458291</v>
      </c>
      <c r="E12" s="31">
        <f>P*EXP(Z-1-LN(Z-B)-A/B/2.8284*LN((Z+2.4142*B)/(Z-0.4142*B)))</f>
        <v>3.822540069912062</v>
      </c>
      <c r="F12" s="35">
        <f>I12+$J$4-'Ref State'!$D$19+'Ref State'!$D$18</f>
        <v>7460.1302530957328</v>
      </c>
      <c r="G12" s="35">
        <f>F12-Z*_R*TK</f>
        <v>5884.2525924336524</v>
      </c>
      <c r="H12" s="35">
        <f>K12+$L$4-'Ref State'!$F$19+'Ref State'!$F$18</f>
        <v>-5.6068105119901439</v>
      </c>
      <c r="I12" s="35">
        <f>_R*TK*(Z-1-A/B/2.8284*(1+kappa*SQRT(Tr/alpha))*LN((Z+2.4142*B)/(Z-0.4142*B)))</f>
        <v>-10185.399640289266</v>
      </c>
      <c r="J12" s="35">
        <f>I12-(Z-1)*_R*TK</f>
        <v>-8036.3938449513462</v>
      </c>
      <c r="K12" s="32">
        <f>_R*LN(Z-B)-A*_R/B/2.8284*kappa*SQRT(Tr/alpha)*LN((Z+2.4142*B)/(Z-0.4142*B))</f>
        <v>-17.705053003023199</v>
      </c>
    </row>
    <row r="13" spans="1:16" x14ac:dyDescent="0.15">
      <c r="A13" s="17"/>
      <c r="B13" s="17"/>
      <c r="E13" s="88" t="s">
        <v>96</v>
      </c>
      <c r="F13" s="17"/>
      <c r="G13" s="17"/>
      <c r="H13" s="17"/>
      <c r="I13" s="17"/>
      <c r="M13" t="s">
        <v>312</v>
      </c>
      <c r="O13" t="s">
        <v>314</v>
      </c>
    </row>
    <row r="14" spans="1:16" x14ac:dyDescent="0.15">
      <c r="C14" s="17"/>
      <c r="D14" s="17"/>
      <c r="E14" s="89" t="e">
        <f>E9/E11</f>
        <v>#NUM!</v>
      </c>
      <c r="F14" s="17"/>
      <c r="G14" s="17"/>
      <c r="M14" t="s">
        <v>313</v>
      </c>
      <c r="N14">
        <f>4000000/D12</f>
        <v>17767.876719717086</v>
      </c>
      <c r="O14">
        <v>164.58054684579167</v>
      </c>
    </row>
    <row r="15" spans="1:16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L15" t="e">
        <f>E9/E11</f>
        <v>#NUM!</v>
      </c>
    </row>
    <row r="16" spans="1:16" x14ac:dyDescent="0.15">
      <c r="A16" s="83" t="s">
        <v>98</v>
      </c>
      <c r="B16" s="20"/>
      <c r="C16" s="20"/>
      <c r="D16" s="20"/>
      <c r="E16" s="20"/>
      <c r="F16" s="20"/>
      <c r="G16" s="20"/>
      <c r="H16" s="21"/>
      <c r="M16" t="s">
        <v>315</v>
      </c>
    </row>
    <row r="17" spans="1:15" x14ac:dyDescent="0.15">
      <c r="A17" s="60"/>
      <c r="B17" s="60"/>
      <c r="C17" s="87"/>
      <c r="D17" s="17"/>
      <c r="E17" s="17"/>
      <c r="F17" s="17"/>
      <c r="G17" s="17"/>
      <c r="H17" s="17"/>
      <c r="M17">
        <f>O14*D12/1000000</f>
        <v>3.7051258164833165E-2</v>
      </c>
      <c r="N17" t="s">
        <v>316</v>
      </c>
    </row>
    <row r="18" spans="1:15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1.1934962326842385E-4</v>
      </c>
      <c r="I18" s="16"/>
      <c r="L18" s="86"/>
      <c r="M18" s="86">
        <v>1.5926707032437707E-2</v>
      </c>
      <c r="O18" t="s">
        <v>317</v>
      </c>
    </row>
    <row r="19" spans="1:15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5" x14ac:dyDescent="0.15">
      <c r="A20" s="23">
        <f>-(1-J29)</f>
        <v>-0.86401548040625853</v>
      </c>
      <c r="B20" s="23">
        <f>J28-3*J29^2-2*J29</f>
        <v>0.35684638664013218</v>
      </c>
      <c r="C20" s="23">
        <f>-(J28*J29-J29^2-J29^3)</f>
        <v>-7.2046568267137845E-2</v>
      </c>
      <c r="D20" s="23">
        <f>(3*B20-A20^2)/3</f>
        <v>0.1080054698462463</v>
      </c>
      <c r="E20" s="23">
        <f>(2*A20^3-9*A20*B20+27*C20)/27</f>
        <v>-1.7051279598745892E-2</v>
      </c>
      <c r="F20" s="4" t="s">
        <v>63</v>
      </c>
      <c r="G20" s="20"/>
      <c r="H20" s="20"/>
      <c r="I20" s="21"/>
      <c r="L20" s="86"/>
      <c r="M20" s="86"/>
    </row>
    <row r="21" spans="1:15" x14ac:dyDescent="0.15">
      <c r="L21" s="86"/>
      <c r="M21" s="86"/>
    </row>
    <row r="22" spans="1:15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5" ht="15" x14ac:dyDescent="0.15">
      <c r="G23" s="23" t="s">
        <v>31</v>
      </c>
      <c r="H23" s="11"/>
      <c r="I23" s="90">
        <v>8.3144720000000003</v>
      </c>
      <c r="J23" s="23"/>
      <c r="M23" s="86"/>
    </row>
    <row r="24" spans="1:15" ht="16" x14ac:dyDescent="0.2">
      <c r="A24" t="s">
        <v>64</v>
      </c>
      <c r="G24" s="1" t="s">
        <v>36</v>
      </c>
      <c r="H24" s="16">
        <f>TK/B4</f>
        <v>1.097770154373928</v>
      </c>
      <c r="I24" s="23" t="s">
        <v>37</v>
      </c>
      <c r="J24" s="23"/>
      <c r="L24" s="17"/>
      <c r="M24" s="86"/>
    </row>
    <row r="25" spans="1:15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1.9188596491228069</v>
      </c>
      <c r="I25" s="11">
        <f>0.4572355289*(B4*I23)^2*H27/C4</f>
        <v>1356338.3325451766</v>
      </c>
      <c r="J25" s="12"/>
      <c r="L25" s="86"/>
      <c r="M25" s="86"/>
    </row>
    <row r="26" spans="1:15" ht="15" x14ac:dyDescent="0.15">
      <c r="A26" s="23">
        <f>(-$E$20/2+SQRT($H$18))^(1/3)</f>
        <v>0.26893206466175651</v>
      </c>
      <c r="B26" s="23">
        <f>(-$E$20/2-SQRT($H$18))^(1/3)</f>
        <v>-0.13386958274150995</v>
      </c>
      <c r="C26" s="23">
        <f>A26+B26</f>
        <v>0.13506248192024656</v>
      </c>
      <c r="D26" s="17"/>
      <c r="G26" s="3" t="s">
        <v>43</v>
      </c>
      <c r="H26" s="18">
        <f>0.37464+1.54226*D4-0.26992*D4^2</f>
        <v>0.63916369631999992</v>
      </c>
      <c r="I26" s="23" t="s">
        <v>44</v>
      </c>
      <c r="J26" s="23"/>
      <c r="L26" s="86"/>
      <c r="M26" s="86"/>
    </row>
    <row r="27" spans="1:15" x14ac:dyDescent="0.15">
      <c r="G27" s="19" t="s">
        <v>46</v>
      </c>
      <c r="H27" s="21">
        <f>(1+kappa*(1-SQRT(Tr)))^2</f>
        <v>0.93989720130969989</v>
      </c>
      <c r="I27" s="11">
        <f>0.0777960739*I23*B4/C4</f>
        <v>72.360926758119348</v>
      </c>
      <c r="J27" s="12"/>
      <c r="L27" s="86"/>
      <c r="M27" s="86"/>
    </row>
    <row r="28" spans="1:15" x14ac:dyDescent="0.15">
      <c r="A28" t="s">
        <v>70</v>
      </c>
      <c r="I28" s="1" t="s">
        <v>48</v>
      </c>
      <c r="J28" s="16">
        <f>I25*B8/(I23*B7)^2</f>
        <v>0.68429079453503705</v>
      </c>
      <c r="L28" s="86"/>
      <c r="M28" s="86"/>
    </row>
    <row r="29" spans="1:15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0.13598451959374144</v>
      </c>
      <c r="L29" s="86"/>
      <c r="M29" s="86"/>
    </row>
    <row r="30" spans="1:15" x14ac:dyDescent="0.15">
      <c r="A30" s="23" t="e">
        <f>2*SQRT(-D20/3)</f>
        <v>#NUM!</v>
      </c>
      <c r="B30" s="23" t="e">
        <f>3*E20/D20/A30</f>
        <v>#NUM!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  <c r="M30" s="86"/>
    </row>
    <row r="31" spans="1:15" x14ac:dyDescent="0.15">
      <c r="L31" s="86"/>
      <c r="M31" s="86"/>
    </row>
    <row r="32" spans="1:15" x14ac:dyDescent="0.15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 x14ac:dyDescent="0.15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 x14ac:dyDescent="0.15">
      <c r="A35" s="23" t="s">
        <v>104</v>
      </c>
      <c r="B35" s="23">
        <f>'Ref State'!A15</f>
        <v>1</v>
      </c>
      <c r="C35" s="23"/>
      <c r="D35" s="23"/>
      <c r="L35" s="86"/>
      <c r="M35" s="86"/>
    </row>
    <row r="36" spans="1:13" x14ac:dyDescent="0.15">
      <c r="L36" s="86"/>
      <c r="M36" s="86"/>
    </row>
    <row r="37" spans="1:13" x14ac:dyDescent="0.15">
      <c r="L37" s="86"/>
      <c r="M37" s="86"/>
    </row>
    <row r="38" spans="1:13" x14ac:dyDescent="0.15">
      <c r="L38" s="86"/>
      <c r="M38" s="86"/>
    </row>
    <row r="39" spans="1:13" x14ac:dyDescent="0.15">
      <c r="L39" s="86"/>
      <c r="M39" s="86"/>
    </row>
    <row r="40" spans="1:13" x14ac:dyDescent="0.15">
      <c r="L40" s="86"/>
      <c r="M40" s="86"/>
    </row>
    <row r="41" spans="1:13" x14ac:dyDescent="0.15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zoomScale="188" zoomScaleNormal="188" zoomScalePageLayoutView="115" workbookViewId="0">
      <selection activeCell="A16" sqref="A16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ISOBUTANE</v>
      </c>
      <c r="B4" s="74">
        <f>Props!B4</f>
        <v>408.1</v>
      </c>
      <c r="C4" s="74">
        <f>Props!C4</f>
        <v>3.6480000000000001</v>
      </c>
      <c r="D4" s="74">
        <f>Props!D4</f>
        <v>0.17699999999999999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>
        <f>E33-$A$23/3</f>
        <v>0.97435785157787724</v>
      </c>
      <c r="F9" s="6">
        <f>E9*$I$26*$B$7/$B$8</f>
        <v>24141.787803274758</v>
      </c>
      <c r="G9" s="5">
        <f>P*EXP(Z-1-LN(Z-B)-A/B/2.8284*LN((Z+2.414*B)/(Z-0.414*B)))</f>
        <v>9.7492607508303131E-2</v>
      </c>
      <c r="H9" s="29">
        <f>_R*TK*(Z-1-A/B/2.8284*(1+kappa*SQRT(Tr/alpha))*LN((Z+2.4142*B)/(Z-0.4142*B)))</f>
        <v>-170.30565981063484</v>
      </c>
      <c r="I9" s="29">
        <f>H9-(Z-1)*_R*TK</f>
        <v>-106.77178413811085</v>
      </c>
      <c r="J9" s="6">
        <f>_R*LN(Z-B)-A*_R/B/2.8284*kappa*SQRT(Tr/alpha)*LN((Z+2.4142*B)/(Z-0.4142*B))</f>
        <v>-0.36032707896535793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>
        <f>F33-$A$23/3</f>
        <v>1.868749311545842E-2</v>
      </c>
      <c r="F10" s="28">
        <f>E10*$I$26*$B$7/$B$8</f>
        <v>463.02238201084197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>
        <f>G33-$A$23/3</f>
        <v>4.0341824026373097E-3</v>
      </c>
      <c r="F11" s="8">
        <f>E11*$I$26*$B$7/$B$8</f>
        <v>99.955447956269509</v>
      </c>
      <c r="G11" s="7">
        <f>P*EXP(Z-1-LN(Z-B)-A/B/2.8284*LN((Z+2.414*B)/(Z-0.414*B)))</f>
        <v>0.31804734160072579</v>
      </c>
      <c r="H11" s="30">
        <f>_R*TK*(Z-1-A/B/2.8284*(1+kappa*SQRT(Tr/alpha))*LN((Z+2.4142*B)/(Z-0.4142*B)))</f>
        <v>-19738.862711894843</v>
      </c>
      <c r="I11" s="30">
        <f>H11-(Z-1)*_R*TK</f>
        <v>-17271.14560069047</v>
      </c>
      <c r="J11" s="8">
        <f>_R*LN(Z-B)-A*_R/B/2.8284*kappa*SQRT(Tr/alpha)*LN((Z+2.4142*B)/(Z-0.4142*B))</f>
        <v>-75.850554451129085</v>
      </c>
      <c r="K11" s="7"/>
      <c r="L11" s="8"/>
    </row>
    <row r="12" spans="1:12" ht="14" thickBot="1" x14ac:dyDescent="0.2">
      <c r="A12" s="75">
        <v>0</v>
      </c>
      <c r="B12" s="43"/>
      <c r="C12" s="57">
        <v>3</v>
      </c>
      <c r="D12" s="43"/>
      <c r="E12" s="35" t="e">
        <f>C29-A23/3</f>
        <v>#NUM!</v>
      </c>
      <c r="F12" s="32" t="e">
        <f>E12*$I$26*$B$7/$B$8</f>
        <v>#NUM!</v>
      </c>
      <c r="G12" s="31" t="e">
        <f>P*EXP(Z-1-LN(Z-B)-A/B/2.8284*LN((Z+2.414*B)/(Z-0.414*B)))</f>
        <v>#NUM!</v>
      </c>
      <c r="H12" s="35" t="e">
        <f>_R*TK*(Z-1-A/B/2.8284*(1+kappa*SQRT(Tr/alpha))*LN((Z+2.4142*B)/(Z-0.4142*B)))</f>
        <v>#NUM!</v>
      </c>
      <c r="I12" s="35" t="e">
        <f>H12-(Z-1)*_R*TK</f>
        <v>#NUM!</v>
      </c>
      <c r="J12" s="32" t="e">
        <f>_R*LN(Z-B)-A*_R/B/2.8284*kappa*SQRT(Tr/alpha)*LN((Z+2.4142*B)/(Z-0.4142*B))</f>
        <v>#NUM!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1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-1.7096107663562392E-6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-0.99707952709597336</v>
      </c>
      <c r="B23" s="23">
        <f>J31-3*J32^2-2*J32</f>
        <v>2.2214431697937551E-2</v>
      </c>
      <c r="C23" s="23">
        <f>-(J31*J32-J32^2-J32^3)</f>
        <v>-7.3455626208263257E-5</v>
      </c>
      <c r="D23" s="23">
        <f>(3*B23-A23^2)/3</f>
        <v>-0.30917476275337241</v>
      </c>
      <c r="E23" s="23">
        <f>(2*A23^3-9*A23*B23+27*C23)/27</f>
        <v>-6.6117244228452624E-2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0.73021318304337168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2.7412280701754388E-2</v>
      </c>
      <c r="I28" s="11">
        <f>0.4572355289*(B4*I26)^2*H30/C4</f>
        <v>1723907.2910355504</v>
      </c>
      <c r="J28" s="12"/>
    </row>
    <row r="29" spans="1:10" ht="15" x14ac:dyDescent="0.15">
      <c r="A29" s="23" t="e">
        <f>(-$E$23/2+SQRT($H$21))^(1/3)</f>
        <v>#NUM!</v>
      </c>
      <c r="B29" s="23" t="e">
        <f>(-$E$23/2-SQRT($H$21))^(1/3)</f>
        <v>#NUM!</v>
      </c>
      <c r="C29" s="23" t="e">
        <f>A29+B29</f>
        <v>#NUM!</v>
      </c>
      <c r="D29" s="17"/>
      <c r="G29" s="3" t="s">
        <v>43</v>
      </c>
      <c r="H29" s="18">
        <f>0.37464+1.54226*D4-0.26992*D4^2</f>
        <v>0.63916369631999992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1.1946102231890816</v>
      </c>
      <c r="I30" s="11">
        <f>0.0777960739*I26*B4/C4</f>
        <v>72.360926758119348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2.8080964991940339E-2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2.9204729040266625E-3</v>
      </c>
    </row>
    <row r="33" spans="1:7" x14ac:dyDescent="0.15">
      <c r="A33" s="23">
        <f>2*SQRT(-D23/3)</f>
        <v>0.64205374931114334</v>
      </c>
      <c r="B33" s="23">
        <f>3*E23/D23/A33</f>
        <v>0.99921875260380777</v>
      </c>
      <c r="C33" s="23">
        <f>ACOS(B33)</f>
        <v>3.9530978788095972E-2</v>
      </c>
      <c r="D33" s="23">
        <f>C33/3</f>
        <v>1.3176992929365325E-2</v>
      </c>
      <c r="E33" s="23">
        <f>$A$33*COS($D$33)</f>
        <v>0.64199800921255279</v>
      </c>
      <c r="F33" s="23">
        <f>$A$33*COS($D$33+4*PI()/3)</f>
        <v>-0.31367234924986603</v>
      </c>
      <c r="G33" s="23">
        <f>$A$33*COS($D$33+2*PI()/3)</f>
        <v>-0.32832565996268714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workbookViewId="0">
      <selection activeCell="C16" sqref="C16:F16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2" zoomScale="145" zoomScaleNormal="145" workbookViewId="0">
      <selection activeCell="D19" sqref="D19:G19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2020-02-26T03:37:38Z</dcterms:modified>
</cp:coreProperties>
</file>