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3120" windowHeight="15540" tabRatio="538" activeTab="2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3" hidden="1">'Props (2)'!$M$20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Props!$F$12</definedName>
    <definedName name="solver_opt" localSheetId="3" hidden="1">'Props (2)'!$M$22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-657.5523143</definedName>
    <definedName name="solver_val" localSheetId="3" hidden="1">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 l="1"/>
  <c r="C4" i="4"/>
  <c r="I30" i="4"/>
  <c r="J32" i="4"/>
  <c r="A23" i="4"/>
  <c r="D4" i="4"/>
  <c r="H29" i="4"/>
  <c r="H27" i="4"/>
  <c r="H30" i="4"/>
  <c r="I28" i="4"/>
  <c r="J31" i="4"/>
  <c r="B23" i="4"/>
  <c r="C23" i="4"/>
  <c r="E23" i="4"/>
  <c r="D23" i="4"/>
  <c r="H21" i="4"/>
  <c r="A29" i="4"/>
  <c r="B29" i="4"/>
  <c r="C29" i="4"/>
  <c r="E12" i="4"/>
  <c r="H12" i="4"/>
  <c r="D19" i="4"/>
  <c r="C18" i="4"/>
  <c r="D18" i="4"/>
  <c r="F9" i="8"/>
  <c r="F11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J4" i="3"/>
  <c r="F12" i="3"/>
  <c r="M22" i="8"/>
  <c r="I27" i="8"/>
  <c r="J29" i="8"/>
  <c r="A20" i="8"/>
  <c r="H24" i="8"/>
  <c r="H26" i="8"/>
  <c r="H27" i="8"/>
  <c r="I25" i="8"/>
  <c r="J28" i="8"/>
  <c r="B20" i="8"/>
  <c r="C20" i="8"/>
  <c r="E20" i="8"/>
  <c r="D20" i="8"/>
  <c r="H18" i="8"/>
  <c r="A26" i="8"/>
  <c r="B26" i="8"/>
  <c r="C26" i="8"/>
  <c r="C12" i="8"/>
  <c r="I12" i="8"/>
  <c r="J4" i="8"/>
  <c r="M11" i="8"/>
  <c r="A30" i="8"/>
  <c r="B30" i="8"/>
  <c r="C30" i="8"/>
  <c r="D30" i="8"/>
  <c r="E30" i="8"/>
  <c r="C9" i="8"/>
  <c r="I9" i="8"/>
  <c r="A30" i="3"/>
  <c r="B30" i="3"/>
  <c r="C30" i="3"/>
  <c r="D30" i="3"/>
  <c r="G30" i="3"/>
  <c r="C11" i="3"/>
  <c r="I11" i="3"/>
  <c r="E30" i="3"/>
  <c r="C9" i="3"/>
  <c r="I9" i="3"/>
  <c r="M10" i="3"/>
  <c r="M13" i="8"/>
  <c r="M14" i="8"/>
  <c r="K9" i="8"/>
  <c r="L4" i="8"/>
  <c r="K12" i="3"/>
  <c r="K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J12" i="4"/>
  <c r="A33" i="4"/>
  <c r="B33" i="4"/>
  <c r="C33" i="4"/>
  <c r="D33" i="4"/>
  <c r="G33" i="4"/>
  <c r="E11" i="4"/>
  <c r="J11" i="4"/>
  <c r="F19" i="4"/>
  <c r="H12" i="8"/>
  <c r="H11" i="4"/>
  <c r="F12" i="8"/>
  <c r="G12" i="8"/>
  <c r="E12" i="8"/>
  <c r="D12" i="8"/>
  <c r="I11" i="8"/>
  <c r="J11" i="8"/>
  <c r="H11" i="8"/>
  <c r="G11" i="8"/>
  <c r="D11" i="8"/>
  <c r="C10" i="8"/>
  <c r="K10" i="8"/>
  <c r="I10" i="8"/>
  <c r="J10" i="8"/>
  <c r="H10" i="8"/>
  <c r="F10" i="8"/>
  <c r="G10" i="8"/>
  <c r="D10" i="8"/>
  <c r="J9" i="8"/>
  <c r="H9" i="8"/>
  <c r="G9" i="8"/>
  <c r="D9" i="8"/>
  <c r="K4" i="8"/>
  <c r="I10" i="2"/>
  <c r="J12" i="2"/>
  <c r="A18" i="2"/>
  <c r="H9" i="2"/>
  <c r="H7" i="2"/>
  <c r="H10" i="2"/>
  <c r="H8" i="2"/>
  <c r="D59" i="6"/>
  <c r="I26" i="4"/>
  <c r="D34" i="3"/>
  <c r="D33" i="3"/>
  <c r="B35" i="3"/>
  <c r="B34" i="3"/>
  <c r="B33" i="3"/>
  <c r="H25" i="3"/>
  <c r="A4" i="4"/>
  <c r="H28" i="4"/>
  <c r="K4" i="3"/>
  <c r="I8" i="2"/>
  <c r="J11" i="2"/>
  <c r="L4" i="3"/>
  <c r="C18" i="2"/>
  <c r="B18" i="2"/>
  <c r="E11" i="3"/>
  <c r="D11" i="3"/>
  <c r="K11" i="3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I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<sst xmlns="http://schemas.openxmlformats.org/spreadsheetml/2006/main" count="592" uniqueCount="312">
  <si>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</si>
  <si>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</si>
  <si>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</si>
  <si>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</si>
  <si>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</si>
  <si>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</si>
  <si>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</si>
  <si>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</si>
  <si>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</si>
  <si>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</si>
  <si>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</si>
  <si>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</si>
  <si>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</si>
  <si>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</si>
  <si>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</si>
  <si>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</si>
  <si>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</si>
  <si>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</si>
  <si>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</si>
  <si>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</si>
  <si>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</si>
  <si>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</si>
  <si>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</si>
  <si>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</si>
  <si>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</si>
  <si>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</si>
  <si>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</si>
  <si>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</si>
  <si>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</si>
  <si>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</si>
  <si>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</si>
  <si>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</si>
  <si>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</si>
  <si>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</si>
  <si>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</si>
  <si>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</si>
  <si>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</si>
  <si>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</si>
  <si>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</si>
  <si>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</si>
  <si>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</si>
  <si>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</si>
  <si>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</si>
  <si>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</si>
  <si>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</si>
  <si>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</si>
  <si>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</si>
  <si>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</si>
  <si>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</si>
  <si>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</si>
  <si>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</si>
  <si>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</si>
  <si>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</si>
  <si>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</si>
  <si>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</si>
  <si>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</si>
  <si>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</si>
  <si>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</si>
  <si>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</si>
  <si>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</si>
  <si>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</si>
  <si>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</si>
  <si>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</si>
  <si>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</si>
  <si>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</si>
  <si>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</si>
  <si>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</si>
  <si>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</si>
  <si>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</si>
  <si>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</si>
  <si>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</si>
  <si>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</si>
  <si>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</si>
  <si>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</si>
  <si>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</si>
  <si>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</si>
  <si>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</si>
  <si>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</si>
  <si>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</si>
  <si>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</si>
  <si>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</si>
  <si>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</si>
  <si>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</si>
  <si>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</si>
  <si>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</si>
  <si>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</si>
  <si>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</si>
  <si>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</si>
  <si>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</si>
  <si>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</si>
  <si>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</si>
  <si>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</si>
  <si>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</si>
  <si>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</si>
  <si>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</si>
  <si>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</si>
  <si>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</si>
  <si>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</si>
  <si>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</si>
  <si>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</si>
  <si>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</si>
  <si>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</si>
  <si>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</si>
  <si>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</si>
  <si>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</si>
  <si>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</si>
  <si>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</si>
  <si>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</si>
  <si>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</si>
  <si>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</si>
  <si>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</si>
  <si>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</si>
  <si>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</si>
  <si>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</si>
  <si>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</si>
  <si>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</si>
  <si>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</si>
  <si>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</si>
  <si>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</si>
  <si>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</si>
  <si>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</si>
  <si>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</si>
  <si>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</si>
  <si>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</si>
  <si>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</si>
  <si>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</si>
  <si>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</si>
  <si>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</si>
  <si>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</si>
  <si>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</si>
  <si>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</si>
  <si>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</si>
  <si>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</si>
  <si>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</si>
  <si>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</si>
  <si>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</si>
  <si>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</si>
  <si>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</si>
  <si>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</si>
  <si>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</si>
  <si>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</si>
  <si>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</si>
  <si>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</si>
  <si>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</si>
  <si>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</si>
  <si>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</si>
  <si>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</si>
  <si>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</si>
  <si>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</si>
  <si>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</si>
  <si>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</si>
  <si>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</si>
  <si>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</si>
  <si>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</si>
  <si>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</si>
  <si>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</si>
  <si>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</si>
  <si>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</si>
  <si>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</si>
  <si>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</si>
  <si>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</si>
  <si>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</si>
  <si>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</si>
  <si>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</si>
  <si>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</si>
  <si>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</si>
  <si>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</si>
  <si>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</si>
  <si>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</si>
  <si>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</si>
  <si>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</si>
  <si>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</si>
  <si>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</si>
  <si>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</si>
  <si>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</si>
  <si>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</si>
  <si>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</si>
  <si>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</si>
  <si>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</si>
  <si>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</si>
  <si>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</si>
  <si>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</si>
  <si>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</si>
  <si>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</si>
  <si>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</si>
  <si>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</si>
  <si>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</si>
  <si>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</si>
  <si>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</si>
  <si>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</si>
  <si>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</si>
  <si>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</si>
  <si>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</si>
  <si>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</si>
  <si>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</si>
  <si>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</si>
  <si>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</si>
  <si>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</si>
  <si>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</si>
  <si>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</si>
  <si>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</si>
  <si>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</si>
  <si>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</si>
  <si>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</si>
  <si>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</si>
  <si>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</si>
  <si>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</si>
  <si>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</si>
  <si>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</si>
  <si>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</si>
  <si>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</si>
  <si>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</si>
  <si>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</si>
  <si>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</si>
  <si>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</si>
  <si>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</si>
  <si>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</si>
  <si>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</si>
  <si>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</si>
  <si>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</si>
  <si>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</si>
  <si>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</si>
  <si>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</si>
  <si>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</si>
  <si>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</si>
  <si>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</si>
  <si>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</si>
  <si>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</si>
  <si>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</si>
  <si>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</si>
  <si>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</si>
  <si>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</si>
  <si>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</si>
  <si>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</si>
  <si>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</si>
  <si>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</si>
  <si>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</si>
  <si>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</si>
  <si>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</si>
  <si>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</si>
  <si>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</si>
  <si>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</si>
  <si>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</si>
  <si>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</si>
  <si>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</si>
  <si>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</si>
  <si>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</si>
  <si>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</si>
  <si>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</si>
  <si>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</si>
  <si>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</si>
  <si>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</si>
  <si>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</si>
  <si>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</si>
  <si>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</si>
  <si>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</si>
  <si>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</si>
  <si>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</si>
  <si>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</si>
  <si>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</si>
  <si>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</si>
  <si>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</si>
  <si>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</si>
  <si>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</si>
  <si>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</si>
  <si>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</si>
  <si>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</si>
  <si>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</si>
  <si>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</si>
  <si>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</si>
  <si>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</si>
  <si>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</si>
  <si>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</si>
  <si>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</si>
  <si>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</si>
  <si>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</si>
  <si>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</si>
  <si>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</si>
  <si>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</si>
  <si>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</si>
  <si>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</si>
  <si>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</si>
  <si>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</si>
  <si>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</si>
  <si>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</si>
  <si>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</si>
  <si>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</si>
  <si>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</si>
  <si>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</si>
  <si>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</si>
  <si>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</si>
  <si>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</si>
  <si>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</si>
  <si>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</si>
  <si>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</si>
  <si>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</si>
  <si>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</si>
  <si>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</si>
  <si>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</si>
  <si>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</si>
  <si>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</si>
  <si>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</si>
  <si>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</si>
  <si>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</si>
  <si>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</si>
  <si>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</si>
  <si>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</si>
  <si>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</si>
  <si>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</si>
  <si>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</si>
  <si>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</si>
  <si>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DH=0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</si>
</sst>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134</v>
      </c>
      <c r="B4">
        <v>305.39999999999998</v>
      </c>
      <c r="C4">
        <v>4.88</v>
      </c>
      <c r="D4">
        <v>9.9000000000000005E-2</v>
      </c>
      <c r="E4">
        <v>5.4089999999999998</v>
      </c>
      <c r="F4" s="91">
        <v>0.17810000000000001</v>
      </c>
      <c r="G4" s="91">
        <v>-6.9380000000000003E-5</v>
      </c>
      <c r="H4" s="91">
        <v>8.713E-9</v>
      </c>
      <c r="I4" s="20"/>
      <c r="J4" s="4">
        <f>CPA*(TK-TREF)+CPB/2*(TK^2-TREF^2)+CPC/3*(TK^3-TREF^3)+CPD/4*(TK^4-TREF^4)</f>
        <v>1189.5844572296812</v>
      </c>
      <c r="K4" s="20">
        <f>J4-_R*(TK-TREF)</f>
        <v>1006.6660732296812</v>
      </c>
      <c r="L4" s="21">
        <f>CPA*LN(TK/TREF)+CPB*(TK-TREF)+CPC/2*(TK^2-TREF^2)+CPD/3*(TK^3-TREF^3)-_R*LN(P/PREF)</f>
        <v>-31.473860272110507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320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7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3" thickBot="1">
      <c r="A12" s="40" t="s">
        <v>49</v>
      </c>
      <c r="B12" s="55"/>
      <c r="C12" s="35">
        <f>C26-A20/3</f>
        <v>0.33148970535488542</v>
      </c>
      <c r="D12" s="32">
        <f>C12*$I$23*$B$7/$B$8</f>
        <v>125.99597135823748</v>
      </c>
      <c r="E12" s="31">
        <f>P*EXP(Z-1-LN(Z-B)-A/B/2.8284*LN((Z+2.4142*B)/(Z-0.4142*B)))</f>
        <v>3.9839669199845553</v>
      </c>
      <c r="F12" s="35">
        <f>I12+$J$4-'Ref State'!$D$19+'Ref State'!$D$18</f>
        <v>-6285.4983424941374</v>
      </c>
      <c r="G12" s="35">
        <f>F12-Z*_R*TK</f>
        <v>-7167.4701420018</v>
      </c>
      <c r="H12" s="35">
        <f>K12+$L$4-'Ref State'!$F$19+'Ref State'!$F$18</f>
        <v>-50.147190602865578</v>
      </c>
      <c r="I12" s="35">
        <f>_R*TK*(Z-1-A/B/2.8284*(1+kappa*SQRT(Tr/alpha))*LN((Z+2.4142*B)/(Z-0.4142*B)))</f>
        <v>-7475.0827997238184</v>
      </c>
      <c r="J12" s="35">
        <f>I12-(Z-1)*_R*TK</f>
        <v>-5696.4235592314808</v>
      </c>
      <c r="K12" s="32">
        <f>_R*LN(Z-B)-A*_R/B/2.8284*kappa*SQRT(Tr/alpha)*LN((Z+2.4142*B)/(Z-0.4142*B))</f>
        <v>-18.673330330755075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 t="e">
        <f>E9/E11</f>
        <v>#NUM!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1.3861703805518027E-5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-0.89349868930365006</v>
      </c>
      <c r="B20" s="23">
        <f>J28-3*J29^2-2*J29</f>
        <v>0.33564003895076644</v>
      </c>
      <c r="C20" s="23">
        <f>-(J28*J29-J29^2-J29^3)</f>
        <v>-4.9504621699042815E-2</v>
      </c>
      <c r="D20" s="23">
        <f>(3*B20-A20^2)/3</f>
        <v>6.9526736354986296E-2</v>
      </c>
      <c r="E20" s="23">
        <f>(2*A20^3-9*A20*B20+27*C20)/27</f>
        <v>-2.3781738668408993E-3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1.0478061558611658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1.4344262295081966</v>
      </c>
      <c r="I25" s="11">
        <f>0.4572355289*(B4*I23)^2*H27/C4</f>
        <v>589242.56276454998</v>
      </c>
      <c r="J25" s="12"/>
      <c r="L25" s="86"/>
      <c r="M25" s="86"/>
    </row>
    <row r="26" spans="1:13" ht="14">
      <c r="A26" s="23">
        <f>(-$E$20/2+SQRT($H$18))^(1/3)</f>
        <v>0.16999097815776013</v>
      </c>
      <c r="B26" s="23">
        <f>(-$E$20/2-SQRT($H$18))^(1/3)</f>
        <v>-0.1363341692374247</v>
      </c>
      <c r="C26" s="23">
        <f>A26+B26</f>
        <v>3.3656808920335429E-2</v>
      </c>
      <c r="D26" s="17"/>
      <c r="G26" s="3" t="s">
        <v>43</v>
      </c>
      <c r="H26" s="18">
        <f>0.37464+1.54226*D4-0.26992*D4^2</f>
        <v>0.52467825407999991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0.97536360622229101</v>
      </c>
      <c r="I27" s="11">
        <f>0.0777960739*I23*B4/C4</f>
        <v>40.480099005627508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0.58267024788358757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0.1065013106963499</v>
      </c>
      <c r="L29" s="86"/>
      <c r="M29" s="86"/>
    </row>
    <row r="30" spans="1:13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zoomScale="130" zoomScaleNormal="130" zoomScalePageLayoutView="130" workbookViewId="0">
      <selection activeCell="M23" sqref="M2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-6358.9068516088309</v>
      </c>
      <c r="K4" s="20">
        <f>J4-_R*(TK-TREF)</f>
        <v>-4562.3190808679792</v>
      </c>
      <c r="L4" s="21">
        <f>CPA*LN(TK/TREF)+CPB*(TK-TREF)+CPC/2*(TK^2-TREF^2)+CPD/3*(TK^3-TREF^3)-_R*LN(P/PREF)</f>
        <v>-38.122123288595724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81.920401591243305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>
        <f>E30-$A$20/3</f>
        <v>0.96060368966453891</v>
      </c>
      <c r="D9" s="6">
        <f>C9*$I$23*$B$7/$B$8</f>
        <v>6542.9107790227317</v>
      </c>
      <c r="E9" s="5">
        <f>P*EXP(Z-1-LN(Z-B)-A/B/2.8284*LN((Z+2.4142*B)/(Z-0.4142*B)))</f>
        <v>9.6197421528120747E-2</v>
      </c>
      <c r="F9" s="29">
        <f>I9+$J$4-'Ref State'!$D$19+'Ref State'!$D$18</f>
        <v>-6425.242561469614</v>
      </c>
      <c r="G9" s="29">
        <f>F9-Z*_R*TK</f>
        <v>-7079.5336393718871</v>
      </c>
      <c r="H9" s="29">
        <f>K9+$L$4-'Ref State'!$F$19+'Ref State'!$F$18</f>
        <v>-38.609549012145713</v>
      </c>
      <c r="I9" s="29">
        <f>_R*TK*(Z-1-A/B/2.8284*(1+kappa*SQRT(Tr/alpha))*LN((Z+2.4142*B)/(Z-0.4142*B)))</f>
        <v>-66.335709860783197</v>
      </c>
      <c r="J9" s="29">
        <f>I9-(Z-1)*_R*TK</f>
        <v>-39.501902503908482</v>
      </c>
      <c r="K9" s="6">
        <f>_R*LN(Z-B)-A*_R/B/2.8284*kappa*SQRT(Tr/alpha)*LN((Z+2.4142*B)/(Z-0.4142*B))</f>
        <v>-0.4874257235499862</v>
      </c>
    </row>
    <row r="10" spans="1:14">
      <c r="A10" s="38" t="s">
        <v>45</v>
      </c>
      <c r="B10" s="45"/>
      <c r="C10" s="17">
        <f>F30-$A$20/3</f>
        <v>3.11967838294403E-2</v>
      </c>
      <c r="D10" s="28">
        <f>C10*$I$23*$B$7/$B$8</f>
        <v>212.48905806281968</v>
      </c>
      <c r="E10" s="54"/>
      <c r="F10" s="17">
        <f>I10+$J$4-'Ref State'!$D$19+'Ref State'!$D$18</f>
        <v>-8121.0794391249028</v>
      </c>
      <c r="G10" s="17">
        <f>F10-Z*_R*TK</f>
        <v>-8142.3283449311848</v>
      </c>
      <c r="H10" s="17">
        <f>K10+$L$4-'Ref State'!$F$19+'Ref State'!$F$18</f>
        <v>-71.376941006150531</v>
      </c>
      <c r="I10" s="17">
        <f>_R*TK*(Z-1-A/B/2.8284*(1+kappa*SQRT(Tr/alpha))*LN((Z+2.4142*B)/(Z-0.4142*B)))</f>
        <v>-1762.1725875160716</v>
      </c>
      <c r="J10" s="17">
        <f>I10-(Z-1)*_R*TK</f>
        <v>-1102.2966080632057</v>
      </c>
      <c r="K10" s="28">
        <f>_R*LN(Z-B)-A*_R/B/2.8284*kappa*SQRT(Tr/alpha)*LN((Z+2.4142*B)/(Z-0.4142*B))</f>
        <v>-33.254817717554815</v>
      </c>
      <c r="M10" s="95" t="s">
        <v>308</v>
      </c>
      <c r="N10" s="95"/>
    </row>
    <row r="11" spans="1:14" ht="13" thickBot="1">
      <c r="A11" s="7"/>
      <c r="B11" s="8"/>
      <c r="C11" s="30">
        <f>G30-$A$20/3</f>
        <v>4.5925223226089829E-3</v>
      </c>
      <c r="D11" s="8">
        <f>C11*$I$23*$B$7/$B$8</f>
        <v>31.280812400371182</v>
      </c>
      <c r="E11" s="7">
        <f>P*EXP(Z-1-LN(Z-B)-A/B/2.8284*LN((Z+2.4142*B)/(Z-0.4142*B)))</f>
        <v>9.6197439632240908E-2</v>
      </c>
      <c r="F11" s="30">
        <f>I11+$J$4-'Ref State'!$D$19+'Ref State'!$D$18</f>
        <v>-12475.969339402207</v>
      </c>
      <c r="G11" s="30">
        <f>F11-Z*_R*TK</f>
        <v>-12479.097420642243</v>
      </c>
      <c r="H11" s="30">
        <f>K11+$L$4-'Ref State'!$F$19+'Ref State'!$F$18</f>
        <v>-112.47059935598827</v>
      </c>
      <c r="I11" s="30">
        <f>_R*TK*(Z-1-A/B/2.8284*(1+kappa*SQRT(Tr/alpha))*LN((Z+2.4142*B)/(Z-0.4142*B)))</f>
        <v>-6117.0624877933769</v>
      </c>
      <c r="J11" s="30">
        <f>I11-(Z-1)*_R*TK</f>
        <v>-5439.0656837742663</v>
      </c>
      <c r="K11" s="8">
        <f>_R*LN(Z-B)-A*_R/B/2.8284*kappa*SQRT(Tr/alpha)*LN((Z+2.4142*B)/(Z-0.4142*B))</f>
        <v>-74.348476067392554</v>
      </c>
      <c r="M11" s="95" t="e">
        <f>I12+J4-Props!I12</f>
        <v>#NUM!</v>
      </c>
      <c r="N11" s="95" t="s">
        <v>90</v>
      </c>
    </row>
    <row r="12" spans="1:14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1049.8402382542045</v>
      </c>
      <c r="N13" t="s">
        <v>90</v>
      </c>
    </row>
    <row r="14" spans="1:14">
      <c r="C14" s="17"/>
      <c r="D14" s="17"/>
      <c r="E14" s="89">
        <f>E9/E11</f>
        <v>0.99999981180247388</v>
      </c>
      <c r="F14" s="17"/>
      <c r="G14" s="17"/>
      <c r="M14">
        <f>0.85*M13</f>
        <v>892.36420251607376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-182.33085802606661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-5.1738803569872059E-6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-0.99639299581658858</v>
      </c>
      <c r="B20" s="23">
        <f>J28-3*J29^2-2*J29</f>
        <v>3.4522611466322947E-2</v>
      </c>
      <c r="C20" s="23">
        <f>-(J28*J29-J29^2-J29^3)</f>
        <v>-1.3762754086611514E-4</v>
      </c>
      <c r="D20" s="23">
        <f>(3*B20-A20^2)/3</f>
        <v>-0.29641038923779578</v>
      </c>
      <c r="E20" s="23">
        <f>(2*A20^3-9*A20*B20+27*C20)/27</f>
        <v>-6.1947003450341147E-2</v>
      </c>
      <c r="F20" s="4" t="s">
        <v>63</v>
      </c>
      <c r="G20" s="20"/>
      <c r="H20" s="20"/>
      <c r="I20" s="21"/>
      <c r="L20" s="86" t="s">
        <v>61</v>
      </c>
      <c r="M20" s="86">
        <v>0.68489669529686781</v>
      </c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 t="s">
        <v>311</v>
      </c>
      <c r="M22" s="86">
        <f>M20*F9+(1-M20)*F11-Props!F12</f>
        <v>-2046.3482225577727</v>
      </c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0.61640633251499855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2.857959416976279E-2</v>
      </c>
      <c r="I25" s="11">
        <f>0.4572355289*(B4*I23)^2*H27/C4</f>
        <v>193810.24236543747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1.2146786152917037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4.1775651270683181E-2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3.6070041834113959E-3</v>
      </c>
      <c r="L29" s="86"/>
      <c r="M29" s="86"/>
    </row>
    <row r="30" spans="1:13">
      <c r="A30" s="23">
        <f>2*SQRT(-D20/3)</f>
        <v>0.62866036324637253</v>
      </c>
      <c r="B30" s="23">
        <f>3*E20/D20/A30</f>
        <v>0.99731432495357597</v>
      </c>
      <c r="C30" s="23">
        <f>ACOS(B30)</f>
        <v>7.3305907672715387E-2</v>
      </c>
      <c r="D30" s="23">
        <f>C30/3</f>
        <v>2.4435302557571797E-2</v>
      </c>
      <c r="E30" s="23">
        <f>$A$30*COS($D$30)</f>
        <v>0.62847269105900938</v>
      </c>
      <c r="F30" s="23">
        <f>$A$30*COS($D$30+4*PI()/3)</f>
        <v>-0.30093421477608923</v>
      </c>
      <c r="G30" s="23">
        <f>$A$30*COS($D$30+2*PI()/3)</f>
        <v>-0.32753847628292054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ETHANE</v>
      </c>
      <c r="B4" s="74">
        <f>Props!B4</f>
        <v>305.39999999999998</v>
      </c>
      <c r="C4" s="74">
        <f>Props!C4</f>
        <v>4.88</v>
      </c>
      <c r="D4" s="74">
        <f>Props!D4</f>
        <v>9.9000000000000005E-2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0</v>
      </c>
      <c r="B12" s="43"/>
      <c r="C12" s="57">
        <v>3</v>
      </c>
      <c r="D12" s="43"/>
      <c r="E12" s="35">
        <f>C29-A23/3</f>
        <v>0.99163218256048513</v>
      </c>
      <c r="F12" s="32">
        <f>E12*$I$26*$B$7/$B$8</f>
        <v>24569.796088270166</v>
      </c>
      <c r="G12" s="31">
        <f>P*EXP(Z-1-LN(Z-B)-A/B/2.8284*LN((Z+2.414*B)/(Z-0.414*B)))</f>
        <v>9.9168573531775925E-2</v>
      </c>
      <c r="H12" s="35">
        <f>_R*TK*(Z-1-A/B/2.8284*(1+kappa*SQRT(Tr/alpha))*LN((Z+2.4142*B)/(Z-0.4142*B)))</f>
        <v>-58.399852802723252</v>
      </c>
      <c r="I12" s="35">
        <f>H12-(Z-1)*_R*TK</f>
        <v>-37.666805629739741</v>
      </c>
      <c r="J12" s="32">
        <f>_R*LN(Z-B)-A*_R/B/2.8284*kappa*SQRT(Tr/alpha)*LN((Z+2.4142*B)/(Z-0.4142*B))</f>
        <v>-0.12654316015015926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8.4371470101879051E-8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-0.99836623109190648</v>
      </c>
      <c r="B23" s="23">
        <f>J31-3*J32^2-2*J32</f>
        <v>6.6914242545328172E-3</v>
      </c>
      <c r="C23" s="23">
        <f>-(J31*J32-J32^2-J32^3)</f>
        <v>-1.3610163457672424E-5</v>
      </c>
      <c r="D23" s="23">
        <f>(3*B23-A23^2)/3</f>
        <v>-0.32555361954035317</v>
      </c>
      <c r="E23" s="23">
        <f>(2*A23^3-9*A23*B23+27*C23)/27</f>
        <v>-7.1498386641682871E-2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0.97576948264571062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2.0491803278688527E-2</v>
      </c>
      <c r="I28" s="11">
        <f>0.4572355289*(B4*I26)^2*H30/C4</f>
        <v>611878.24899131001</v>
      </c>
      <c r="J28" s="12"/>
    </row>
    <row r="29" spans="1:10" ht="14">
      <c r="A29" s="23">
        <f>(-$E$23/2+SQRT($H$21))^(1/3)</f>
        <v>0.33031393753745925</v>
      </c>
      <c r="B29" s="23">
        <f>(-$E$23/2-SQRT($H$21))^(1/3)</f>
        <v>0.32852950132572373</v>
      </c>
      <c r="C29" s="23">
        <f>A29+B29</f>
        <v>0.65884343886318297</v>
      </c>
      <c r="D29" s="17"/>
      <c r="G29" s="3" t="s">
        <v>43</v>
      </c>
      <c r="H29" s="18">
        <f>0.37464+1.54226*D4-0.26992*D4^2</f>
        <v>0.52467825407999991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1.0128320885462179</v>
      </c>
      <c r="I30" s="11">
        <f>0.0777960739*I26*B4/C4</f>
        <v>40.480099005627508</v>
      </c>
      <c r="J30" s="12"/>
    </row>
    <row r="31" spans="1:10">
      <c r="A31" t="s">
        <v>70</v>
      </c>
      <c r="I31" s="1" t="s">
        <v>48</v>
      </c>
      <c r="J31" s="16">
        <f>I28*B8/(I26*B7)^2</f>
        <v>9.9669696732551261E-3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1.6337689080935746E-3</v>
      </c>
    </row>
    <row r="33" spans="1:7">
      <c r="A33" s="23">
        <f>2*SQRT(-D23/3)</f>
        <v>0.65884102234186281</v>
      </c>
      <c r="B33" s="23">
        <f>3*E23/D23/A33</f>
        <v>1.0000330106922686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>
      <selection activeCell="C13" sqref="C13:F13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workbookViewId="0">
      <selection activeCell="D16" sqref="D16:G16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2017-03-22T01:44:13Z</dcterms:modified>
</cp:coreProperties>
</file>