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3120" windowHeight="15540" tabRatio="538" activeTab="2"/>
  </bookViews>
  <sheets>
    <sheet name="Instructions" sheetId="1" r:id="rId1"/>
    <sheet name="PVT" sheetId="2" r:id="rId2"/>
    <sheet name="Props" sheetId="3" r:id="rId3"/>
    <sheet name="Props (2)" sheetId="8" r:id="rId4"/>
    <sheet name="Ref State" sheetId="4" r:id="rId5"/>
    <sheet name="Crit. Props" sheetId="5" r:id="rId6"/>
    <sheet name="IG Cps" sheetId="6" r:id="rId7"/>
    <sheet name="rev. info" sheetId="7" r:id="rId8"/>
  </sheets>
  <definedNames>
    <definedName name="_a" localSheetId="2">Props!$I$25</definedName>
    <definedName name="_a" localSheetId="3">'Props (2)'!$I$25</definedName>
    <definedName name="_a">'Ref State'!$I$28</definedName>
    <definedName name="_b" localSheetId="2">Props!$I$27</definedName>
    <definedName name="_b" localSheetId="3">'Props (2)'!$I$27</definedName>
    <definedName name="_b">'Ref State'!$I$30</definedName>
    <definedName name="_R">'Ref State'!$I$26</definedName>
    <definedName name="A" localSheetId="2">Props!$J$28</definedName>
    <definedName name="A" localSheetId="3">'Props (2)'!$J$28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3">'Props (2)'!$H$27</definedName>
    <definedName name="alpha" localSheetId="1">PVT!$H$10</definedName>
    <definedName name="alpha">'Ref State'!$H$30</definedName>
    <definedName name="B" localSheetId="2">Props!$J$29</definedName>
    <definedName name="B" localSheetId="3">'Props (2)'!$J$29</definedName>
    <definedName name="B" localSheetId="1">PVT!$J$12</definedName>
    <definedName name="B">'Ref State'!$J$32</definedName>
    <definedName name="b_" localSheetId="1">PVT!$I$10</definedName>
    <definedName name="CPA" localSheetId="3">'Props (2)'!$E$4</definedName>
    <definedName name="CPA">Props!$E$4</definedName>
    <definedName name="CPB" localSheetId="3">'Props (2)'!$F$4</definedName>
    <definedName name="CPB">Props!$F$4</definedName>
    <definedName name="CPC" localSheetId="3">'Props (2)'!$G$4</definedName>
    <definedName name="CPC">Props!$G$4</definedName>
    <definedName name="CPD" localSheetId="3">'Props (2)'!$H$4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3">'Props (2)'!$H$26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3">'Props (2)'!$B$8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 localSheetId="3">'Props (2)'!$H$25</definedName>
    <definedName name="Pr">'Ref State'!$H$28</definedName>
    <definedName name="PREF">'Ref State'!$B$8</definedName>
    <definedName name="q" localSheetId="2">Props!$E$20</definedName>
    <definedName name="q" localSheetId="3">'Props (2)'!$E$20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3" hidden="1">'Props (2)'!$M$20</definedName>
    <definedName name="solver_adj" localSheetId="1" hidden="1">PVT!$B$7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1" hidden="1">100</definedName>
    <definedName name="solver_lhs1" localSheetId="3" hidden="1">'Props (2)'!$B$7</definedName>
    <definedName name="solver_lhs1" localSheetId="1" hidden="1">PVT!$B$7</definedName>
    <definedName name="solver_lin" localSheetId="2" hidden="1">2</definedName>
    <definedName name="solver_lin" localSheetId="3" hidden="1">2</definedName>
    <definedName name="solver_lin" localSheetId="1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2</definedName>
    <definedName name="solver_neg" localSheetId="3" hidden="1">2</definedName>
    <definedName name="solver_neg" localSheetId="1" hidden="1">2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um" localSheetId="1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2" hidden="1">Props!$D$12</definedName>
    <definedName name="solver_opt" localSheetId="3" hidden="1">'Props (2)'!$M$22</definedName>
    <definedName name="solver_opt" localSheetId="1" hidden="1">PVT!$H$12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2" hidden="1">1</definedName>
    <definedName name="solver_rbv" localSheetId="3" hidden="1">1</definedName>
    <definedName name="solver_rel1" localSheetId="3" hidden="1">3</definedName>
    <definedName name="solver_rel1" localSheetId="1" hidden="1">1</definedName>
    <definedName name="solver_rhs1" localSheetId="3" hidden="1">279</definedName>
    <definedName name="solver_rhs1" localSheetId="1" hidden="1">PVT!$B$4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cl" localSheetId="1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1" hidden="1">3</definedName>
    <definedName name="solver_val" localSheetId="2" hidden="1">200</definedName>
    <definedName name="solver_val" localSheetId="3" hidden="1">0</definedName>
    <definedName name="solver_val" localSheetId="1" hidden="1">1</definedName>
    <definedName name="solver_ver" localSheetId="2" hidden="1">2</definedName>
    <definedName name="solver_ver" localSheetId="3" hidden="1">2</definedName>
    <definedName name="Tc" localSheetId="3">'Props (2)'!$B$4</definedName>
    <definedName name="Tc" localSheetId="1">PVT!$B$4</definedName>
    <definedName name="Tc">Props!$B$4</definedName>
    <definedName name="TK" localSheetId="2">Props!$B$7</definedName>
    <definedName name="TK" localSheetId="3">'Props (2)'!$B$7</definedName>
    <definedName name="TK" localSheetId="1">PVT!$B$7</definedName>
    <definedName name="TK">'Ref State'!$B$7</definedName>
    <definedName name="Tr" localSheetId="2">Props!$H$24</definedName>
    <definedName name="Tr" localSheetId="3">'Props (2)'!$H$24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3">'Props (2)'!$C$9:$C$12</definedName>
    <definedName name="Z" localSheetId="1">PVT!$C$9:$C$12</definedName>
    <definedName name="Z">'Ref State'!$E$9:$E$12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C4" i="4"/>
  <c r="I30" i="4"/>
  <c r="J32" i="4"/>
  <c r="A23" i="4"/>
  <c r="D4" i="4"/>
  <c r="H29" i="4"/>
  <c r="H27" i="4"/>
  <c r="H30" i="4"/>
  <c r="I28" i="4"/>
  <c r="J31" i="4"/>
  <c r="B23" i="4"/>
  <c r="C23" i="4"/>
  <c r="E23" i="4"/>
  <c r="D23" i="4"/>
  <c r="H21" i="4"/>
  <c r="A29" i="4"/>
  <c r="B29" i="4"/>
  <c r="C29" i="4"/>
  <c r="E12" i="4"/>
  <c r="H12" i="4"/>
  <c r="D19" i="4"/>
  <c r="C18" i="4"/>
  <c r="D18" i="4"/>
  <c r="F9" i="8"/>
  <c r="F11" i="8"/>
  <c r="I27" i="3"/>
  <c r="J29" i="3"/>
  <c r="A20" i="3"/>
  <c r="H26" i="3"/>
  <c r="H24" i="3"/>
  <c r="H27" i="3"/>
  <c r="I25" i="3"/>
  <c r="J28" i="3"/>
  <c r="B20" i="3"/>
  <c r="C20" i="3"/>
  <c r="E20" i="3"/>
  <c r="D20" i="3"/>
  <c r="H18" i="3"/>
  <c r="A26" i="3"/>
  <c r="B26" i="3"/>
  <c r="C26" i="3"/>
  <c r="C12" i="3"/>
  <c r="I12" i="3"/>
  <c r="J4" i="3"/>
  <c r="F12" i="3"/>
  <c r="M22" i="8"/>
  <c r="I27" i="8"/>
  <c r="J29" i="8"/>
  <c r="A20" i="8"/>
  <c r="H24" i="8"/>
  <c r="H26" i="8"/>
  <c r="H27" i="8"/>
  <c r="I25" i="8"/>
  <c r="J28" i="8"/>
  <c r="B20" i="8"/>
  <c r="C20" i="8"/>
  <c r="E20" i="8"/>
  <c r="D20" i="8"/>
  <c r="H18" i="8"/>
  <c r="A26" i="8"/>
  <c r="B26" i="8"/>
  <c r="C26" i="8"/>
  <c r="C12" i="8"/>
  <c r="I12" i="8"/>
  <c r="J4" i="8"/>
  <c r="M11" i="8"/>
  <c r="A30" i="8"/>
  <c r="B30" i="8"/>
  <c r="C30" i="8"/>
  <c r="D30" i="8"/>
  <c r="E30" i="8"/>
  <c r="C9" i="8"/>
  <c r="I9" i="8"/>
  <c r="A30" i="3"/>
  <c r="B30" i="3"/>
  <c r="C30" i="3"/>
  <c r="D30" i="3"/>
  <c r="G30" i="3"/>
  <c r="C11" i="3"/>
  <c r="I11" i="3"/>
  <c r="E30" i="3"/>
  <c r="C9" i="3"/>
  <c r="I9" i="3"/>
  <c r="M10" i="3"/>
  <c r="M13" i="8"/>
  <c r="M14" i="8"/>
  <c r="K9" i="8"/>
  <c r="L4" i="8"/>
  <c r="K12" i="3"/>
  <c r="K12" i="8"/>
  <c r="L17" i="8"/>
  <c r="G30" i="8"/>
  <c r="C11" i="8"/>
  <c r="K11" i="8"/>
  <c r="B35" i="8"/>
  <c r="D34" i="8"/>
  <c r="B34" i="8"/>
  <c r="D33" i="8"/>
  <c r="B33" i="8"/>
  <c r="F30" i="8"/>
  <c r="H25" i="8"/>
  <c r="E9" i="8"/>
  <c r="E11" i="8"/>
  <c r="E14" i="8"/>
  <c r="J12" i="8"/>
  <c r="J12" i="4"/>
  <c r="A33" i="4"/>
  <c r="B33" i="4"/>
  <c r="C33" i="4"/>
  <c r="D33" i="4"/>
  <c r="G33" i="4"/>
  <c r="E11" i="4"/>
  <c r="J11" i="4"/>
  <c r="F19" i="4"/>
  <c r="H12" i="8"/>
  <c r="H11" i="4"/>
  <c r="F12" i="8"/>
  <c r="G12" i="8"/>
  <c r="E12" i="8"/>
  <c r="D12" i="8"/>
  <c r="I11" i="8"/>
  <c r="J11" i="8"/>
  <c r="H11" i="8"/>
  <c r="G11" i="8"/>
  <c r="D11" i="8"/>
  <c r="C10" i="8"/>
  <c r="K10" i="8"/>
  <c r="I10" i="8"/>
  <c r="J10" i="8"/>
  <c r="H10" i="8"/>
  <c r="F10" i="8"/>
  <c r="G10" i="8"/>
  <c r="D10" i="8"/>
  <c r="J9" i="8"/>
  <c r="H9" i="8"/>
  <c r="G9" i="8"/>
  <c r="D9" i="8"/>
  <c r="K4" i="8"/>
  <c r="I10" i="2"/>
  <c r="J12" i="2"/>
  <c r="A18" i="2"/>
  <c r="H9" i="2"/>
  <c r="H7" i="2"/>
  <c r="H10" i="2"/>
  <c r="H8" i="2"/>
  <c r="D59" i="6"/>
  <c r="I26" i="4"/>
  <c r="D34" i="3"/>
  <c r="D33" i="3"/>
  <c r="B35" i="3"/>
  <c r="B34" i="3"/>
  <c r="B33" i="3"/>
  <c r="H25" i="3"/>
  <c r="A4" i="4"/>
  <c r="H28" i="4"/>
  <c r="K4" i="3"/>
  <c r="I8" i="2"/>
  <c r="J11" i="2"/>
  <c r="L4" i="3"/>
  <c r="C18" i="2"/>
  <c r="B18" i="2"/>
  <c r="E11" i="3"/>
  <c r="D11" i="3"/>
  <c r="K11" i="3"/>
  <c r="F30" i="3"/>
  <c r="C10" i="3"/>
  <c r="E12" i="3"/>
  <c r="D12" i="3"/>
  <c r="D18" i="2"/>
  <c r="A26" i="2"/>
  <c r="E18" i="2"/>
  <c r="E33" i="4"/>
  <c r="E9" i="4"/>
  <c r="F33" i="4"/>
  <c r="E10" i="4"/>
  <c r="F10" i="4"/>
  <c r="G11" i="4"/>
  <c r="F11" i="4"/>
  <c r="I11" i="4"/>
  <c r="H16" i="2"/>
  <c r="B22" i="2"/>
  <c r="B26" i="2"/>
  <c r="C26" i="2"/>
  <c r="D26" i="2"/>
  <c r="E26" i="2"/>
  <c r="C9" i="2"/>
  <c r="A22" i="2"/>
  <c r="C22" i="2"/>
  <c r="C12" i="2"/>
  <c r="J9" i="4"/>
  <c r="H11" i="3"/>
  <c r="J11" i="3"/>
  <c r="J12" i="3"/>
  <c r="D10" i="3"/>
  <c r="K10" i="3"/>
  <c r="H10" i="3"/>
  <c r="I10" i="3"/>
  <c r="G9" i="4"/>
  <c r="F9" i="4"/>
  <c r="H12" i="3"/>
  <c r="H9" i="4"/>
  <c r="D9" i="3"/>
  <c r="E9" i="3"/>
  <c r="E14" i="3"/>
  <c r="K9" i="3"/>
  <c r="H9" i="3"/>
  <c r="D9" i="2"/>
  <c r="E9" i="2"/>
  <c r="I9" i="4"/>
  <c r="I12" i="4"/>
  <c r="E19" i="4"/>
  <c r="F26" i="2"/>
  <c r="C10" i="2"/>
  <c r="D10" i="2"/>
  <c r="D12" i="2"/>
  <c r="E12" i="2"/>
  <c r="G26" i="2"/>
  <c r="C11" i="2"/>
  <c r="E18" i="4"/>
  <c r="F12" i="4"/>
  <c r="G12" i="4"/>
  <c r="F9" i="3"/>
  <c r="G9" i="3"/>
  <c r="J9" i="3"/>
  <c r="J10" i="3"/>
  <c r="G12" i="3"/>
  <c r="F11" i="3"/>
  <c r="G11" i="3"/>
  <c r="F10" i="3"/>
  <c r="G10" i="3"/>
  <c r="E11" i="2"/>
  <c r="D11" i="2"/>
  <c r="H12" i="2"/>
</calcChain>
</file>

<file path=xl/sharedStrings.xml><?xml version="1.0" encoding="utf-8"?>
<sst xmlns="http://schemas.openxmlformats.org/spreadsheetml/2006/main" count="592" uniqueCount="312">
  <si>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</si>
  <si>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</si>
  <si>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</si>
  <si>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</si>
  <si>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</si>
  <si>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</si>
  <si>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</si>
  <si>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</si>
  <si>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</si>
  <si>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</si>
  <si>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</si>
  <si>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</si>
  <si>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</si>
  <si>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</si>
  <si>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</si>
  <si>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</si>
  <si>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</si>
  <si>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</si>
  <si>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</si>
  <si>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</si>
  <si>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</si>
  <si>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</si>
  <si>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</si>
  <si>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</si>
  <si>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</si>
  <si>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</si>
  <si>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</si>
  <si>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</si>
  <si>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</si>
  <si>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</si>
  <si>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</si>
  <si>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</si>
  <si>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</si>
  <si>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</si>
  <si>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</si>
  <si>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</si>
  <si>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</si>
  <si>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</si>
  <si>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</si>
  <si>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</si>
  <si>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</si>
  <si>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</si>
  <si>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</si>
  <si>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</si>
  <si>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</si>
  <si>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</si>
  <si>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</si>
  <si>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</si>
  <si>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</si>
  <si>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</si>
  <si>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</si>
  <si>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</si>
  <si>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</si>
  <si>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</si>
  <si>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</si>
  <si>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</si>
  <si>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</si>
  <si>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</si>
  <si>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</si>
  <si>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</si>
  <si>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</si>
  <si>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</si>
  <si>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</si>
  <si>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</si>
  <si>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</si>
  <si>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</si>
  <si>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</si>
  <si>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</si>
  <si>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</si>
  <si>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</si>
  <si>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</si>
  <si>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</si>
  <si>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</si>
  <si>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</si>
  <si>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</si>
  <si>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</si>
  <si>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</si>
  <si>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</si>
  <si>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</si>
  <si>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</si>
  <si>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</si>
  <si>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</si>
  <si>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</si>
  <si>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</si>
  <si>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</si>
  <si>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</si>
  <si>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</si>
  <si>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</si>
  <si>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</si>
  <si>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</si>
  <si>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</si>
  <si>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</si>
  <si>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</si>
  <si>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</si>
  <si>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</si>
  <si>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</si>
  <si>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</si>
  <si>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</si>
  <si>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</si>
  <si>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</si>
  <si>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</si>
  <si>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</si>
  <si>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</si>
  <si>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</si>
  <si>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</si>
  <si>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</si>
  <si>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</si>
  <si>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</si>
  <si>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</si>
  <si>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</si>
  <si>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</si>
  <si>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</si>
  <si>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</si>
  <si>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</si>
  <si>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</si>
  <si>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</si>
  <si>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</si>
  <si>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</si>
  <si>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</si>
  <si>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</si>
  <si>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</si>
  <si>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</si>
  <si>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</si>
  <si>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</si>
  <si>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</si>
  <si>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</si>
  <si>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</si>
  <si>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</si>
  <si>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</si>
  <si>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</si>
  <si>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</si>
  <si>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</si>
  <si>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</si>
  <si>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</si>
  <si>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</si>
  <si>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</si>
  <si>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</si>
  <si>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</si>
  <si>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</si>
  <si>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</si>
  <si>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</si>
  <si>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</si>
  <si>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</si>
  <si>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</si>
  <si>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</si>
  <si>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</si>
  <si>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</si>
  <si>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</si>
  <si>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</si>
  <si>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</si>
  <si>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</si>
  <si>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</si>
  <si>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</si>
  <si>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</si>
  <si>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</si>
  <si>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</si>
  <si>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</si>
  <si>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</si>
  <si>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</si>
  <si>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</si>
  <si>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</si>
  <si>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</si>
  <si>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</si>
  <si>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</si>
  <si>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</si>
  <si>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</si>
  <si>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</si>
  <si>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</si>
  <si>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</si>
  <si>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</si>
  <si>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</si>
  <si>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</si>
  <si>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</si>
  <si>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</si>
  <si>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</si>
  <si>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</si>
  <si>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</si>
  <si>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</si>
  <si>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</si>
  <si>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</si>
  <si>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</si>
  <si>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</si>
  <si>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</si>
  <si>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</si>
  <si>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</si>
  <si>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</si>
  <si>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</si>
  <si>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</si>
  <si>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</si>
  <si>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</si>
  <si>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</si>
  <si>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</si>
  <si>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</si>
  <si>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</si>
  <si>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</si>
  <si>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</si>
  <si>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</si>
  <si>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</si>
  <si>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</si>
  <si>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</si>
  <si>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</si>
  <si>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</si>
  <si>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</si>
  <si>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</si>
  <si>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</si>
  <si>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</si>
  <si>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</si>
  <si>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</si>
  <si>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</si>
  <si>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</si>
  <si>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</si>
  <si>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</si>
  <si>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</si>
  <si>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</si>
  <si>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</si>
  <si>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</si>
  <si>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</si>
  <si>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</si>
  <si>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</si>
  <si>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</si>
  <si>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</si>
  <si>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</si>
  <si>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</si>
  <si>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</si>
  <si>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</si>
  <si>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</si>
  <si>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</si>
  <si>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</si>
  <si>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</si>
  <si>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</si>
  <si>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</si>
  <si>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</si>
  <si>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</si>
  <si>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</si>
  <si>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</si>
  <si>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</si>
  <si>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</si>
  <si>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</si>
  <si>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</si>
  <si>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</si>
  <si>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</si>
  <si>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</si>
  <si>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</si>
  <si>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</si>
  <si>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</si>
  <si>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</si>
  <si>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</si>
  <si>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</si>
  <si>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</si>
  <si>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</si>
  <si>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</si>
  <si>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</si>
  <si>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</si>
  <si>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</si>
  <si>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</si>
  <si>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</si>
  <si>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</si>
  <si>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</si>
  <si>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</si>
  <si>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</si>
  <si>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</si>
  <si>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</si>
  <si>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</si>
  <si>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</si>
  <si>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</si>
  <si>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</si>
  <si>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</si>
  <si>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</si>
  <si>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</si>
  <si>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</si>
  <si>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</si>
  <si>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</si>
  <si>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</si>
  <si>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</si>
  <si>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</si>
  <si>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</si>
  <si>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</si>
  <si>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</si>
  <si>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</si>
  <si>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</si>
  <si>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</si>
  <si>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</si>
  <si>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</si>
  <si>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</si>
  <si>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</si>
  <si>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</si>
  <si>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</si>
  <si>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</si>
  <si>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</si>
  <si>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</si>
  <si>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</si>
  <si>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</si>
  <si>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</si>
  <si>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</si>
  <si>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</si>
  <si>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</si>
  <si>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</si>
  <si>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</si>
  <si>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</si>
  <si>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</si>
  <si>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</si>
  <si>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</si>
  <si>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</si>
  <si>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</si>
  <si>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</si>
  <si>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</si>
  <si>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</si>
  <si>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</si>
  <si>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equals 0 Ex 8.3</t>
  </si>
  <si>
    <t>Cp</t>
  </si>
  <si>
    <t>H-Hig difference L-V</t>
  </si>
  <si>
    <t>DH=0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</si>
</sst>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0" xfId="0" applyFill="1"/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C27"/>
  <sheetViews>
    <sheetView showGridLines="0" topLeftCell="A11" zoomScale="115" zoomScaleNormal="115" zoomScalePageLayoutView="115" workbookViewId="0">
      <selection activeCell="C12" sqref="C12"/>
    </sheetView>
  </sheetViews>
  <sheetFormatPr baseColWidth="10" defaultColWidth="8.83203125" defaultRowHeight="12" x14ac:dyDescent="0"/>
  <cols>
    <col min="2" max="2" width="11" customWidth="1"/>
  </cols>
  <sheetData>
    <row r="2" spans="2:3" s="76" customFormat="1" ht="21">
      <c r="B2" s="76" t="s">
        <v>0</v>
      </c>
      <c r="C2"/>
    </row>
    <row r="4" spans="2:3">
      <c r="B4" t="s">
        <v>1</v>
      </c>
    </row>
    <row r="6" spans="2:3">
      <c r="B6" t="s">
        <v>2</v>
      </c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1" spans="2:3">
      <c r="C11" t="s">
        <v>8</v>
      </c>
    </row>
    <row r="12" spans="2:3">
      <c r="C12" t="s">
        <v>9</v>
      </c>
    </row>
    <row r="14" spans="2:3">
      <c r="B14" t="s">
        <v>10</v>
      </c>
      <c r="C14" t="s">
        <v>11</v>
      </c>
    </row>
    <row r="15" spans="2:3"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>
      <c r="B22" t="s">
        <v>18</v>
      </c>
    </row>
    <row r="23" spans="2:3">
      <c r="B23" t="s">
        <v>19</v>
      </c>
    </row>
    <row r="25" spans="2:3">
      <c r="B25" s="93" t="s">
        <v>304</v>
      </c>
    </row>
    <row r="26" spans="2:3">
      <c r="B26" s="93" t="s">
        <v>307</v>
      </c>
    </row>
    <row r="27" spans="2:3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45" zoomScaleNormal="145" zoomScalePageLayoutView="145" workbookViewId="0">
      <selection activeCell="A4" sqref="A4:C4"/>
    </sheetView>
  </sheetViews>
  <sheetFormatPr baseColWidth="10" defaultColWidth="8.83203125" defaultRowHeight="12" x14ac:dyDescent="0"/>
  <cols>
    <col min="3" max="3" width="13.6640625" bestFit="1" customWidth="1"/>
  </cols>
  <sheetData>
    <row r="1" spans="1:10">
      <c r="A1" t="s">
        <v>20</v>
      </c>
      <c r="F1" t="s">
        <v>21</v>
      </c>
    </row>
    <row r="2" spans="1:10" ht="13" thickBot="1">
      <c r="A2" s="13" t="s">
        <v>22</v>
      </c>
      <c r="B2" s="14"/>
    </row>
    <row r="3" spans="1:10" ht="15" thickTop="1">
      <c r="A3" s="23" t="s">
        <v>23</v>
      </c>
      <c r="B3" s="23" t="s">
        <v>24</v>
      </c>
      <c r="C3" s="23" t="s">
        <v>25</v>
      </c>
      <c r="D3" s="33" t="s">
        <v>26</v>
      </c>
    </row>
    <row r="4" spans="1:10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3" thickBot="1">
      <c r="G5" s="11" t="s">
        <v>28</v>
      </c>
      <c r="H5" s="22"/>
      <c r="I5" s="22"/>
      <c r="J5" s="12"/>
    </row>
    <row r="6" spans="1:10" ht="13" thickBot="1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3" thickTop="1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3" thickBot="1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4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ht="14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3" thickBot="1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3" thickBot="1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>
      <c r="C13" t="s">
        <v>51</v>
      </c>
      <c r="G13" t="s">
        <v>52</v>
      </c>
    </row>
    <row r="14" spans="1:10">
      <c r="A14" s="17"/>
      <c r="B14" s="17"/>
      <c r="F14" s="17"/>
      <c r="G14" t="s">
        <v>53</v>
      </c>
      <c r="H14" s="17"/>
      <c r="I14" s="17"/>
    </row>
    <row r="15" spans="1:10">
      <c r="F15" s="17"/>
      <c r="G15" s="17"/>
      <c r="H15" s="17"/>
      <c r="I15" s="17"/>
    </row>
    <row r="16" spans="1:10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>
      <c r="K19" s="86"/>
      <c r="L19" s="86"/>
    </row>
    <row r="20" spans="1:12">
      <c r="A20" t="s">
        <v>64</v>
      </c>
      <c r="K20" s="86"/>
      <c r="L20" s="86"/>
    </row>
    <row r="21" spans="1:12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>
      <c r="K23" s="86"/>
      <c r="L23" s="86"/>
    </row>
    <row r="24" spans="1:12">
      <c r="A24" t="s">
        <v>70</v>
      </c>
      <c r="K24" s="86"/>
      <c r="L24" s="86"/>
    </row>
    <row r="25" spans="1:12" ht="14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>
      <c r="K27" s="86"/>
      <c r="L27" s="86"/>
    </row>
    <row r="28" spans="1:12">
      <c r="A28" t="s">
        <v>76</v>
      </c>
      <c r="K28" s="86"/>
      <c r="L28" s="86"/>
    </row>
    <row r="29" spans="1:12">
      <c r="A29" s="17" t="s">
        <v>77</v>
      </c>
      <c r="K29" s="86"/>
      <c r="L29" s="86"/>
    </row>
    <row r="30" spans="1:12">
      <c r="A30" t="s">
        <v>78</v>
      </c>
      <c r="K30" s="86"/>
      <c r="L30" s="86"/>
    </row>
    <row r="31" spans="1:12">
      <c r="A31" t="s">
        <v>79</v>
      </c>
      <c r="K31" s="86"/>
      <c r="L31" s="86"/>
    </row>
    <row r="32" spans="1:12">
      <c r="K32" s="86"/>
      <c r="L32" s="86"/>
    </row>
    <row r="33" spans="11:12">
      <c r="K33" s="86"/>
      <c r="L33" s="86"/>
    </row>
    <row r="34" spans="11:12">
      <c r="K34" s="86"/>
      <c r="L34" s="86"/>
    </row>
    <row r="35" spans="11:12">
      <c r="K35" s="86"/>
      <c r="L35" s="86"/>
    </row>
    <row r="36" spans="11:12">
      <c r="K36" s="86"/>
      <c r="L36" s="86"/>
    </row>
    <row r="37" spans="11:12">
      <c r="K37" s="86"/>
      <c r="L37" s="86"/>
    </row>
    <row r="38" spans="11:12">
      <c r="K38" s="86"/>
      <c r="L38" s="86"/>
    </row>
    <row r="39" spans="11:12">
      <c r="K39" s="86"/>
      <c r="L39" s="86"/>
    </row>
    <row r="40" spans="11:12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showGridLines="0" tabSelected="1" zoomScale="130" zoomScaleNormal="130" zoomScalePageLayoutView="130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3">
      <c r="A1" t="s">
        <v>20</v>
      </c>
      <c r="F1" t="s">
        <v>21</v>
      </c>
    </row>
    <row r="2" spans="1:13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3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3">
      <c r="A4" t="s">
        <v>215</v>
      </c>
      <c r="B4">
        <v>304.2</v>
      </c>
      <c r="C4">
        <v>7.3819999999999997</v>
      </c>
      <c r="D4">
        <v>0.22800000000000001</v>
      </c>
      <c r="E4" s="91">
        <v>19.8</v>
      </c>
      <c r="F4" s="91">
        <v>7.3440000000000005E-2</v>
      </c>
      <c r="G4" s="91">
        <v>-5.6020000000000002E-5</v>
      </c>
      <c r="H4" s="91">
        <v>1.7150000000000001E-8</v>
      </c>
      <c r="I4" s="20"/>
      <c r="J4" s="4">
        <f>CPA*(TK-TREF)+CPB/2*(TK^2-TREF^2)+CPC/3*(TK^3-TREF^3)+CPD/4*(TK^4-TREF^4)</f>
        <v>3926.3883979466664</v>
      </c>
      <c r="K4" s="20">
        <f>J4-_R*(TK-TREF)</f>
        <v>3094.9411979466663</v>
      </c>
      <c r="L4" s="21">
        <f>CPA*LN(TK/TREF)+CPB*(TK-TREF)+CPC/2*(TK^2-TREF^2)+CPD/3*(TK^3-TREF^3)-_R*LN(P/PREF)</f>
        <v>-33.512240014083893</v>
      </c>
    </row>
    <row r="5" spans="1:13" ht="13" thickBot="1"/>
    <row r="6" spans="1:13" ht="13" thickBot="1">
      <c r="A6" s="9" t="s">
        <v>29</v>
      </c>
      <c r="B6" s="10"/>
      <c r="C6" s="31" t="s">
        <v>30</v>
      </c>
      <c r="D6" s="32"/>
      <c r="E6" t="s">
        <v>51</v>
      </c>
    </row>
    <row r="7" spans="1:13" ht="13" thickTop="1">
      <c r="A7" s="5" t="s">
        <v>32</v>
      </c>
      <c r="B7" s="48">
        <v>398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3" ht="13" thickBot="1">
      <c r="A8" s="7" t="s">
        <v>38</v>
      </c>
      <c r="B8" s="49">
        <v>22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3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 t="s">
        <v>310</v>
      </c>
    </row>
    <row r="10" spans="1:13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  <c r="M10" s="95" t="e">
        <f>I11-I9</f>
        <v>#NUM!</v>
      </c>
    </row>
    <row r="11" spans="1:13" ht="13" thickBot="1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3" ht="13" thickBot="1">
      <c r="A12" s="40" t="s">
        <v>49</v>
      </c>
      <c r="B12" s="55"/>
      <c r="C12" s="35">
        <f>C26-A20/3</f>
        <v>0.70381506385135961</v>
      </c>
      <c r="D12" s="32">
        <f>C12*$I$23*$B$7/$B$8</f>
        <v>105.86529797022709</v>
      </c>
      <c r="E12" s="31">
        <f>P*EXP(Z-1-LN(Z-B)-A/B/2.8284*LN((Z+2.4142*B)/(Z-0.4142*B)))</f>
        <v>14.696404326183149</v>
      </c>
      <c r="F12" s="35">
        <f>I12+$J$4-'Ref State'!$D$19+'Ref State'!$D$18</f>
        <v>-1779.2017326579999</v>
      </c>
      <c r="G12" s="35">
        <f>F12-Z*_R*TK</f>
        <v>-4108.2382880029963</v>
      </c>
      <c r="H12" s="35">
        <f>K12+$L$4-'Ref State'!$F$19+'Ref State'!$F$18</f>
        <v>-44.493506407589422</v>
      </c>
      <c r="I12" s="35">
        <f>_R*TK*(Z-1-A/B/2.8284*(1+kappa*SQRT(Tr/alpha))*LN((Z+2.4142*B)/(Z-0.4142*B)))</f>
        <v>-5705.5901306046662</v>
      </c>
      <c r="J12" s="35">
        <f>I12-(Z-1)*_R*TK</f>
        <v>-4725.4668299496625</v>
      </c>
      <c r="K12" s="32">
        <f>_R*LN(Z-B)-A*_R/B/2.8284*kappa*SQRT(Tr/alpha)*LN((Z+2.4142*B)/(Z-0.4142*B))</f>
        <v>-10.981266393505528</v>
      </c>
    </row>
    <row r="13" spans="1:13">
      <c r="A13" s="17"/>
      <c r="B13" s="17"/>
      <c r="E13" s="88" t="s">
        <v>96</v>
      </c>
      <c r="F13" s="17"/>
      <c r="G13" s="17"/>
      <c r="H13" s="17"/>
      <c r="I13" s="17"/>
    </row>
    <row r="14" spans="1:13">
      <c r="C14" s="17"/>
      <c r="D14" s="17"/>
      <c r="E14" s="89" t="e">
        <f>E9/E11</f>
        <v>#NUM!</v>
      </c>
      <c r="F14" s="17"/>
      <c r="G14" s="17"/>
    </row>
    <row r="15" spans="1:13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3">
      <c r="A16" s="83" t="s">
        <v>98</v>
      </c>
      <c r="B16" s="20"/>
      <c r="C16" s="20"/>
      <c r="D16" s="20"/>
      <c r="E16" s="20"/>
      <c r="F16" s="20"/>
      <c r="G16" s="20"/>
      <c r="H16" s="21"/>
    </row>
    <row r="17" spans="1:13">
      <c r="A17" s="60"/>
      <c r="B17" s="60"/>
      <c r="C17" s="87"/>
      <c r="D17" s="17"/>
      <c r="E17" s="17"/>
      <c r="F17" s="17"/>
      <c r="G17" s="17"/>
      <c r="H17" s="17"/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1.0579045342975955E-3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-0.82279235347410307</v>
      </c>
      <c r="B20" s="23">
        <f>J28-3*J29^2-2*J29</f>
        <v>0.1926827510210965</v>
      </c>
      <c r="C20" s="23">
        <f>-(J28*J29-J29^2-J29^3)</f>
        <v>-7.6676950778134911E-2</v>
      </c>
      <c r="D20" s="23">
        <f>(3*B20-A20^2)/3</f>
        <v>-3.2979667957387937E-2</v>
      </c>
      <c r="E20" s="23">
        <f>(2*A20^3-9*A20*B20+27*C20)/27</f>
        <v>-6.5091722227512111E-2</v>
      </c>
      <c r="F20" s="4" t="s">
        <v>63</v>
      </c>
      <c r="G20" s="20"/>
      <c r="H20" s="20"/>
      <c r="I20" s="21"/>
      <c r="L20" s="86"/>
      <c r="M20" s="86"/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1.3083497698882314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2.9802221620157141</v>
      </c>
      <c r="I25" s="11">
        <f>0.4572355289*(B4*I23)^2*H27/C4</f>
        <v>319211.04468300042</v>
      </c>
      <c r="J25" s="12"/>
      <c r="L25" s="86"/>
      <c r="M25" s="86"/>
    </row>
    <row r="26" spans="1:13" ht="14">
      <c r="A26" s="23">
        <f>(-$E$20/2+SQRT($H$18))^(1/3)</f>
        <v>0.40221954775466751</v>
      </c>
      <c r="B26" s="23">
        <f>(-$E$20/2-SQRT($H$18))^(1/3)</f>
        <v>2.73313982719911E-2</v>
      </c>
      <c r="C26" s="23">
        <f>A26+B26</f>
        <v>0.42955094602665861</v>
      </c>
      <c r="D26" s="17"/>
      <c r="G26" s="3" t="s">
        <v>43</v>
      </c>
      <c r="H26" s="18">
        <f>0.37464+1.54226*D4-0.26992*D4^2</f>
        <v>0.71224375872000001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0.8056088182252833</v>
      </c>
      <c r="I27" s="11">
        <f>0.0777960739*I23*B4/C4</f>
        <v>26.654928639078904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0.641305694034632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0.17720764652589691</v>
      </c>
      <c r="L29" s="86"/>
      <c r="M29" s="86"/>
    </row>
    <row r="30" spans="1:13">
      <c r="A30" s="23">
        <f>2*SQRT(-D20/3)</f>
        <v>0.20969714020427313</v>
      </c>
      <c r="B30" s="23">
        <f>3*E20/D20/A30</f>
        <v>28.23632881532987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showGridLines="0" zoomScale="130" zoomScaleNormal="130" zoomScalePageLayoutView="130" workbookViewId="0">
      <selection activeCell="M23" sqref="M23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  <col min="13" max="13" width="13" bestFit="1" customWidth="1"/>
  </cols>
  <sheetData>
    <row r="1" spans="1:14">
      <c r="A1" t="s">
        <v>20</v>
      </c>
      <c r="F1" t="s">
        <v>21</v>
      </c>
    </row>
    <row r="2" spans="1:14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4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4">
      <c r="A4" t="s">
        <v>214</v>
      </c>
      <c r="B4">
        <v>132.9</v>
      </c>
      <c r="C4">
        <v>3.4990000000000001</v>
      </c>
      <c r="D4">
        <v>6.6000000000000003E-2</v>
      </c>
      <c r="E4" s="91">
        <v>30.87</v>
      </c>
      <c r="F4" s="91">
        <v>-1.285E-2</v>
      </c>
      <c r="G4" s="91">
        <v>2.7889999999999999E-5</v>
      </c>
      <c r="H4" s="91">
        <v>-1.2720000000000001E-8</v>
      </c>
      <c r="I4" s="20"/>
      <c r="J4" s="4">
        <f>CPA*(TK-TREF)+CPB/2*(TK^2-TREF^2)+CPC/3*(TK^3-TREF^3)+CPD/4*(TK^4-TREF^4)</f>
        <v>-6358.9068516088309</v>
      </c>
      <c r="K4" s="20">
        <f>J4-_R*(TK-TREF)</f>
        <v>-4562.3190808679792</v>
      </c>
      <c r="L4" s="21">
        <f>CPA*LN(TK/TREF)+CPB*(TK-TREF)+CPC/2*(TK^2-TREF^2)+CPD/3*(TK^3-TREF^3)-_R*LN(P/PREF)</f>
        <v>-38.122123288595724</v>
      </c>
    </row>
    <row r="5" spans="1:14" ht="13" thickBot="1"/>
    <row r="6" spans="1:14" ht="13" thickBot="1">
      <c r="A6" s="9" t="s">
        <v>29</v>
      </c>
      <c r="B6" s="10"/>
      <c r="C6" s="31" t="s">
        <v>30</v>
      </c>
      <c r="D6" s="32"/>
      <c r="E6" t="s">
        <v>51</v>
      </c>
    </row>
    <row r="7" spans="1:14" ht="13" thickTop="1">
      <c r="A7" s="5" t="s">
        <v>32</v>
      </c>
      <c r="B7" s="48">
        <v>81.920401591243305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4" ht="13" thickBot="1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4">
      <c r="A9" s="36" t="s">
        <v>42</v>
      </c>
      <c r="B9" s="44"/>
      <c r="C9" s="29">
        <f>E30-$A$20/3</f>
        <v>0.96060368966453891</v>
      </c>
      <c r="D9" s="6">
        <f>C9*$I$23*$B$7/$B$8</f>
        <v>6542.9107790227317</v>
      </c>
      <c r="E9" s="5">
        <f>P*EXP(Z-1-LN(Z-B)-A/B/2.8284*LN((Z+2.4142*B)/(Z-0.4142*B)))</f>
        <v>9.6197421528120747E-2</v>
      </c>
      <c r="F9" s="29">
        <f>I9+$J$4-'Ref State'!$D$19+'Ref State'!$D$18</f>
        <v>-6425.242561469614</v>
      </c>
      <c r="G9" s="29">
        <f>F9-Z*_R*TK</f>
        <v>-7079.5336393718871</v>
      </c>
      <c r="H9" s="29">
        <f>K9+$L$4-'Ref State'!$F$19+'Ref State'!$F$18</f>
        <v>-38.609549012145713</v>
      </c>
      <c r="I9" s="29">
        <f>_R*TK*(Z-1-A/B/2.8284*(1+kappa*SQRT(Tr/alpha))*LN((Z+2.4142*B)/(Z-0.4142*B)))</f>
        <v>-66.335709860783197</v>
      </c>
      <c r="J9" s="29">
        <f>I9-(Z-1)*_R*TK</f>
        <v>-39.501902503908482</v>
      </c>
      <c r="K9" s="6">
        <f>_R*LN(Z-B)-A*_R/B/2.8284*kappa*SQRT(Tr/alpha)*LN((Z+2.4142*B)/(Z-0.4142*B))</f>
        <v>-0.4874257235499862</v>
      </c>
    </row>
    <row r="10" spans="1:14">
      <c r="A10" s="38" t="s">
        <v>45</v>
      </c>
      <c r="B10" s="45"/>
      <c r="C10" s="17">
        <f>F30-$A$20/3</f>
        <v>3.11967838294403E-2</v>
      </c>
      <c r="D10" s="28">
        <f>C10*$I$23*$B$7/$B$8</f>
        <v>212.48905806281968</v>
      </c>
      <c r="E10" s="54"/>
      <c r="F10" s="17">
        <f>I10+$J$4-'Ref State'!$D$19+'Ref State'!$D$18</f>
        <v>-8121.0794391249028</v>
      </c>
      <c r="G10" s="17">
        <f>F10-Z*_R*TK</f>
        <v>-8142.3283449311848</v>
      </c>
      <c r="H10" s="17">
        <f>K10+$L$4-'Ref State'!$F$19+'Ref State'!$F$18</f>
        <v>-71.376941006150531</v>
      </c>
      <c r="I10" s="17">
        <f>_R*TK*(Z-1-A/B/2.8284*(1+kappa*SQRT(Tr/alpha))*LN((Z+2.4142*B)/(Z-0.4142*B)))</f>
        <v>-1762.1725875160716</v>
      </c>
      <c r="J10" s="17">
        <f>I10-(Z-1)*_R*TK</f>
        <v>-1102.2966080632057</v>
      </c>
      <c r="K10" s="28">
        <f>_R*LN(Z-B)-A*_R/B/2.8284*kappa*SQRT(Tr/alpha)*LN((Z+2.4142*B)/(Z-0.4142*B))</f>
        <v>-33.254817717554815</v>
      </c>
      <c r="M10" s="95" t="s">
        <v>308</v>
      </c>
      <c r="N10" s="95"/>
    </row>
    <row r="11" spans="1:14" ht="13" thickBot="1">
      <c r="A11" s="7"/>
      <c r="B11" s="8"/>
      <c r="C11" s="30">
        <f>G30-$A$20/3</f>
        <v>4.5925223226089829E-3</v>
      </c>
      <c r="D11" s="8">
        <f>C11*$I$23*$B$7/$B$8</f>
        <v>31.280812400371182</v>
      </c>
      <c r="E11" s="7">
        <f>P*EXP(Z-1-LN(Z-B)-A/B/2.8284*LN((Z+2.4142*B)/(Z-0.4142*B)))</f>
        <v>9.6197439632240908E-2</v>
      </c>
      <c r="F11" s="30">
        <f>I11+$J$4-'Ref State'!$D$19+'Ref State'!$D$18</f>
        <v>-12475.969339402207</v>
      </c>
      <c r="G11" s="30">
        <f>F11-Z*_R*TK</f>
        <v>-12479.097420642243</v>
      </c>
      <c r="H11" s="30">
        <f>K11+$L$4-'Ref State'!$F$19+'Ref State'!$F$18</f>
        <v>-112.47059935598827</v>
      </c>
      <c r="I11" s="30">
        <f>_R*TK*(Z-1-A/B/2.8284*(1+kappa*SQRT(Tr/alpha))*LN((Z+2.4142*B)/(Z-0.4142*B)))</f>
        <v>-6117.0624877933769</v>
      </c>
      <c r="J11" s="30">
        <f>I11-(Z-1)*_R*TK</f>
        <v>-5439.0656837742663</v>
      </c>
      <c r="K11" s="8">
        <f>_R*LN(Z-B)-A*_R/B/2.8284*kappa*SQRT(Tr/alpha)*LN((Z+2.4142*B)/(Z-0.4142*B))</f>
        <v>-74.348476067392554</v>
      </c>
      <c r="M11" s="95" t="e">
        <f>I12+J4-Props!I12</f>
        <v>#NUM!</v>
      </c>
      <c r="N11" s="95" t="s">
        <v>90</v>
      </c>
    </row>
    <row r="12" spans="1:14" ht="13" thickBot="1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4">
      <c r="A13" s="17"/>
      <c r="B13" s="17"/>
      <c r="E13" s="88" t="s">
        <v>96</v>
      </c>
      <c r="F13" s="17"/>
      <c r="G13" s="17"/>
      <c r="H13" s="17"/>
      <c r="I13" s="17"/>
      <c r="M13" s="95">
        <f>I9+J4-Props!I12</f>
        <v>-719.65243086494775</v>
      </c>
      <c r="N13" t="s">
        <v>90</v>
      </c>
    </row>
    <row r="14" spans="1:14">
      <c r="C14" s="17"/>
      <c r="D14" s="17"/>
      <c r="E14" s="89">
        <f>E9/E11</f>
        <v>0.99999981180247388</v>
      </c>
      <c r="F14" s="17"/>
      <c r="G14" s="17"/>
      <c r="M14">
        <f>0.85*M13</f>
        <v>-611.70456623520556</v>
      </c>
    </row>
    <row r="15" spans="1:14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4">
      <c r="A16" s="83" t="s">
        <v>98</v>
      </c>
      <c r="B16" s="20"/>
      <c r="C16" s="20"/>
      <c r="D16" s="20"/>
      <c r="E16" s="20"/>
      <c r="F16" s="20"/>
      <c r="G16" s="20"/>
      <c r="H16" s="21"/>
      <c r="L16" t="s">
        <v>309</v>
      </c>
    </row>
    <row r="17" spans="1:13">
      <c r="A17" s="60"/>
      <c r="B17" s="60"/>
      <c r="C17" s="87"/>
      <c r="D17" s="17"/>
      <c r="E17" s="17"/>
      <c r="F17" s="17"/>
      <c r="G17" s="17"/>
      <c r="H17" s="17"/>
      <c r="L17">
        <f>CPA+CPB*(TK-TREF)+CPC/3*(TK^3-TREF^3)+CPD/4*(TK^4-TREF^4)</f>
        <v>-182.33085802606661</v>
      </c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-5.1738803569872059E-6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-0.99639299581658858</v>
      </c>
      <c r="B20" s="23">
        <f>J28-3*J29^2-2*J29</f>
        <v>3.4522611466322947E-2</v>
      </c>
      <c r="C20" s="23">
        <f>-(J28*J29-J29^2-J29^3)</f>
        <v>-1.3762754086611514E-4</v>
      </c>
      <c r="D20" s="23">
        <f>(3*B20-A20^2)/3</f>
        <v>-0.29641038923779578</v>
      </c>
      <c r="E20" s="23">
        <f>(2*A20^3-9*A20*B20+27*C20)/27</f>
        <v>-6.1947003450341147E-2</v>
      </c>
      <c r="F20" s="4" t="s">
        <v>63</v>
      </c>
      <c r="G20" s="20"/>
      <c r="H20" s="20"/>
      <c r="I20" s="21"/>
      <c r="L20" s="86" t="s">
        <v>61</v>
      </c>
      <c r="M20" s="86">
        <v>0.68489669529686781</v>
      </c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 t="s">
        <v>311</v>
      </c>
      <c r="M22" s="86">
        <f>M20*F9+(1-M20)*F11-Props!F12</f>
        <v>-6552.6448323939103</v>
      </c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0.61640633251499855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2.857959416976279E-2</v>
      </c>
      <c r="I25" s="11">
        <f>0.4572355289*(B4*I23)^2*H27/C4</f>
        <v>193810.24236543747</v>
      </c>
      <c r="J25" s="12"/>
      <c r="L25" s="86"/>
      <c r="M25" s="86"/>
    </row>
    <row r="26" spans="1:13" ht="14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0.47525338847999998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1.2146786152917037</v>
      </c>
      <c r="I27" s="11">
        <f>0.0777960739*I23*B4/C4</f>
        <v>24.568203105553533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4.1775651270683181E-2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3.6070041834113959E-3</v>
      </c>
      <c r="L29" s="86"/>
      <c r="M29" s="86"/>
    </row>
    <row r="30" spans="1:13">
      <c r="A30" s="23">
        <f>2*SQRT(-D20/3)</f>
        <v>0.62866036324637253</v>
      </c>
      <c r="B30" s="23">
        <f>3*E20/D20/A30</f>
        <v>0.99731432495357597</v>
      </c>
      <c r="C30" s="23">
        <f>ACOS(B30)</f>
        <v>7.3305907672715387E-2</v>
      </c>
      <c r="D30" s="23">
        <f>C30/3</f>
        <v>2.4435302557571797E-2</v>
      </c>
      <c r="E30" s="23">
        <f>$A$30*COS($D$30)</f>
        <v>0.62847269105900938</v>
      </c>
      <c r="F30" s="23">
        <f>$A$30*COS($D$30+4*PI()/3)</f>
        <v>-0.30093421477608923</v>
      </c>
      <c r="G30" s="23">
        <f>$A$30*COS($D$30+2*PI()/3)</f>
        <v>-0.32753847628292054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showGridLines="0" zoomScale="115" zoomScaleNormal="115" zoomScalePageLayoutView="115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</cols>
  <sheetData>
    <row r="1" spans="1:12">
      <c r="A1" t="s">
        <v>20</v>
      </c>
      <c r="F1" t="s">
        <v>21</v>
      </c>
    </row>
    <row r="2" spans="1:12" ht="13" thickBot="1">
      <c r="A2" s="13" t="s">
        <v>22</v>
      </c>
      <c r="B2" s="14"/>
    </row>
    <row r="3" spans="1:12" ht="15" thickTop="1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>
      <c r="A4" s="74" t="str">
        <f>Props!A4</f>
        <v>CARBON DIOXIDE</v>
      </c>
      <c r="B4" s="74">
        <f>Props!B4</f>
        <v>304.2</v>
      </c>
      <c r="C4" s="74">
        <f>Props!C4</f>
        <v>7.3819999999999997</v>
      </c>
      <c r="D4" s="74">
        <f>Props!D4</f>
        <v>0.22800000000000001</v>
      </c>
      <c r="G4" t="s">
        <v>106</v>
      </c>
    </row>
    <row r="5" spans="1:12" ht="13" thickBot="1">
      <c r="G5" t="s">
        <v>107</v>
      </c>
    </row>
    <row r="6" spans="1:12" ht="13" thickBot="1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3" thickTop="1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3" thickBot="1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3" thickBot="1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3" thickBot="1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3" thickBot="1">
      <c r="A12" s="75">
        <v>0</v>
      </c>
      <c r="B12" s="43"/>
      <c r="C12" s="57">
        <v>3</v>
      </c>
      <c r="D12" s="43"/>
      <c r="E12" s="35">
        <f>C29-A23/3</f>
        <v>0.99451210578156002</v>
      </c>
      <c r="F12" s="32">
        <f>E12*$I$26*$B$7/$B$8</f>
        <v>24641.15231040182</v>
      </c>
      <c r="G12" s="31">
        <f>P*EXP(Z-1-LN(Z-B)-A/B/2.8284*LN((Z+2.414*B)/(Z-0.414*B)))</f>
        <v>9.9453545166927726E-2</v>
      </c>
      <c r="H12" s="35">
        <f>_R*TK*(Z-1-A/B/2.8284*(1+kappa*SQRT(Tr/alpha))*LN((Z+2.4142*B)/(Z-0.4142*B)))</f>
        <v>-41.301650847354985</v>
      </c>
      <c r="I12" s="35">
        <f>H12-(Z-1)*_R*TK</f>
        <v>-27.704225887537014</v>
      </c>
      <c r="J12" s="32">
        <f>_R*LN(Z-B)-A*_R/B/2.8284*kappa*SQRT(Tr/alpha)*LN((Z+2.4142*B)/(Z-0.4142*B))</f>
        <v>-9.3028980507170622E-2</v>
      </c>
      <c r="K12" s="40" t="s">
        <v>49</v>
      </c>
      <c r="L12" s="55"/>
    </row>
    <row r="13" spans="1:12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3" thickBot="1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3" thickBot="1">
      <c r="A15" s="75">
        <v>3</v>
      </c>
      <c r="B15" s="43"/>
    </row>
    <row r="16" spans="1:12" ht="13" thickBot="1"/>
    <row r="17" spans="1:10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3" thickBot="1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>
      <c r="A20" s="17"/>
      <c r="B20" s="17"/>
      <c r="F20" s="17"/>
      <c r="G20" s="17"/>
      <c r="H20" s="17"/>
      <c r="I20" s="17"/>
    </row>
    <row r="21" spans="1:10">
      <c r="A21" t="s">
        <v>54</v>
      </c>
      <c r="C21" t="s">
        <v>55</v>
      </c>
      <c r="F21" s="1" t="s">
        <v>56</v>
      </c>
      <c r="G21" s="15"/>
      <c r="H21" s="15">
        <f>E23^2/4+D23^3/27</f>
        <v>3.7793181986494825E-8</v>
      </c>
      <c r="I21" s="16"/>
    </row>
    <row r="22" spans="1:10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>
      <c r="A23" s="23">
        <f>-(1-J32)</f>
        <v>-0.99892421227398864</v>
      </c>
      <c r="B23" s="23">
        <f>J31-3*J32^2-2*J32</f>
        <v>4.393812420888165E-3</v>
      </c>
      <c r="C23" s="23">
        <f>-(J31*J32-J32^2-J32^3)</f>
        <v>-5.8866187638731733E-6</v>
      </c>
      <c r="D23" s="23">
        <f>(3*B23-A23^2)/3</f>
        <v>-0.32822271486818139</v>
      </c>
      <c r="E23" s="23">
        <f>(2*A23^3-9*A23*B23+27*C23)/27</f>
        <v>-7.2378125306412855E-2</v>
      </c>
      <c r="F23" s="4" t="s">
        <v>63</v>
      </c>
      <c r="G23" s="20"/>
      <c r="H23" s="20"/>
      <c r="I23" s="21"/>
    </row>
    <row r="25" spans="1:10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>
      <c r="G26" s="23" t="s">
        <v>31</v>
      </c>
      <c r="H26" s="23"/>
      <c r="I26" s="34">
        <f>PVT!I6</f>
        <v>8.3144720000000003</v>
      </c>
      <c r="J26" s="23"/>
    </row>
    <row r="27" spans="1:10">
      <c r="A27" t="s">
        <v>64</v>
      </c>
      <c r="G27" s="1" t="s">
        <v>36</v>
      </c>
      <c r="H27" s="16">
        <f>TK/B4</f>
        <v>0.97961867192636432</v>
      </c>
      <c r="I27" s="23" t="s">
        <v>37</v>
      </c>
      <c r="J27" s="23"/>
    </row>
    <row r="28" spans="1:10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1.3546464372798701E-2</v>
      </c>
      <c r="I28" s="11">
        <f>0.4572355289*(B4*I26)^2*H30/C4</f>
        <v>402038.43469020899</v>
      </c>
      <c r="J28" s="12"/>
    </row>
    <row r="29" spans="1:10" ht="14">
      <c r="A29" s="23">
        <f>(-$E$23/2+SQRT($H$21))^(1/3)</f>
        <v>0.33136097668651382</v>
      </c>
      <c r="B29" s="23">
        <f>(-$E$23/2-SQRT($H$21))^(1/3)</f>
        <v>0.33017639167038332</v>
      </c>
      <c r="C29" s="23">
        <f>A29+B29</f>
        <v>0.66153736835689714</v>
      </c>
      <c r="D29" s="17"/>
      <c r="G29" s="3" t="s">
        <v>43</v>
      </c>
      <c r="H29" s="18">
        <f>0.37464+1.54226*D4-0.26992*D4^2</f>
        <v>0.71224375872000001</v>
      </c>
      <c r="I29" s="23" t="s">
        <v>44</v>
      </c>
      <c r="J29" s="23"/>
    </row>
    <row r="30" spans="1:10" ht="14">
      <c r="G30" s="19" t="s">
        <v>46</v>
      </c>
      <c r="H30" s="21">
        <f>(1+kappa*(1-SQRT(Tr)))^2</f>
        <v>1.0146444292789552</v>
      </c>
      <c r="I30" s="11">
        <f>0.0777960739*I26*B4/C4</f>
        <v>26.654928639078904</v>
      </c>
      <c r="J30" s="12"/>
    </row>
    <row r="31" spans="1:10">
      <c r="A31" t="s">
        <v>70</v>
      </c>
      <c r="I31" s="1" t="s">
        <v>48</v>
      </c>
      <c r="J31" s="16">
        <f>I28*B8/(I26*B7)^2</f>
        <v>6.5488598306052623E-3</v>
      </c>
    </row>
    <row r="32" spans="1:10" ht="14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1.0757877260113935E-3</v>
      </c>
    </row>
    <row r="33" spans="1:7">
      <c r="A33" s="23">
        <f>2*SQRT(-D23/3)</f>
        <v>0.66153630776466721</v>
      </c>
      <c r="B33" s="23">
        <f>3*E23/D23/A33</f>
        <v>1.000014429065134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6"/>
  <sheetViews>
    <sheetView topLeftCell="A61" workbookViewId="0">
      <selection activeCell="C91" sqref="C91:F91"/>
    </sheetView>
  </sheetViews>
  <sheetFormatPr baseColWidth="10" defaultColWidth="8.83203125" defaultRowHeight="12" x14ac:dyDescent="0"/>
  <cols>
    <col min="2" max="2" width="12.1640625" customWidth="1"/>
    <col min="3" max="3" width="20.6640625" customWidth="1"/>
  </cols>
  <sheetData>
    <row r="1" spans="2:8">
      <c r="B1" t="s">
        <v>121</v>
      </c>
    </row>
    <row r="2" spans="2:8">
      <c r="B2" t="s">
        <v>122</v>
      </c>
    </row>
    <row r="3" spans="2:8">
      <c r="B3" t="s">
        <v>123</v>
      </c>
    </row>
    <row r="4" spans="2:8">
      <c r="B4" t="s">
        <v>124</v>
      </c>
    </row>
    <row r="5" spans="2:8">
      <c r="B5" t="s">
        <v>125</v>
      </c>
    </row>
    <row r="7" spans="2:8">
      <c r="B7" s="92" t="s">
        <v>126</v>
      </c>
    </row>
    <row r="8" spans="2:8">
      <c r="B8" s="92" t="s">
        <v>127</v>
      </c>
    </row>
    <row r="10" spans="2:8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>
      <c r="B11" t="s">
        <v>133</v>
      </c>
    </row>
    <row r="12" spans="2:8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>
      <c r="B28" t="s">
        <v>149</v>
      </c>
    </row>
    <row r="29" spans="2:8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>
      <c r="B33" t="s">
        <v>154</v>
      </c>
    </row>
    <row r="34" spans="2:8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>
      <c r="B42" t="s">
        <v>163</v>
      </c>
    </row>
    <row r="43" spans="2:8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>
      <c r="B55" t="s">
        <v>176</v>
      </c>
      <c r="C55" t="s">
        <v>177</v>
      </c>
    </row>
    <row r="56" spans="2:8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>
      <c r="B66" t="s">
        <v>190</v>
      </c>
    </row>
    <row r="67" spans="2:8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>
      <c r="B75" t="s">
        <v>199</v>
      </c>
    </row>
    <row r="76" spans="2:8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>
      <c r="B92" t="s">
        <v>216</v>
      </c>
    </row>
    <row r="93" spans="2:8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>
      <c r="B98" t="s">
        <v>222</v>
      </c>
    </row>
    <row r="99" spans="2:8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>
      <c r="B106" t="s">
        <v>228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"/>
  <sheetViews>
    <sheetView topLeftCell="A79" workbookViewId="0">
      <selection activeCell="D112" sqref="D112:G112"/>
    </sheetView>
  </sheetViews>
  <sheetFormatPr baseColWidth="10" defaultColWidth="8.83203125" defaultRowHeight="12" x14ac:dyDescent="0"/>
  <cols>
    <col min="3" max="3" width="34.6640625" customWidth="1"/>
    <col min="4" max="4" width="11.33203125" customWidth="1"/>
  </cols>
  <sheetData>
    <row r="1" spans="2:7">
      <c r="B1" t="s">
        <v>229</v>
      </c>
    </row>
    <row r="2" spans="2:7">
      <c r="B2" t="s">
        <v>230</v>
      </c>
    </row>
    <row r="3" spans="2:7">
      <c r="B3" t="s">
        <v>231</v>
      </c>
    </row>
    <row r="4" spans="2:7">
      <c r="B4" t="s">
        <v>232</v>
      </c>
    </row>
    <row r="5" spans="2:7">
      <c r="B5" t="s">
        <v>233</v>
      </c>
    </row>
    <row r="7" spans="2:7">
      <c r="B7" s="92" t="s">
        <v>126</v>
      </c>
    </row>
    <row r="8" spans="2:7">
      <c r="B8" s="92" t="s">
        <v>127</v>
      </c>
    </row>
    <row r="10" spans="2:7">
      <c r="B10" t="s">
        <v>234</v>
      </c>
    </row>
    <row r="11" spans="2:7">
      <c r="B11" t="s">
        <v>235</v>
      </c>
    </row>
    <row r="13" spans="2:7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>
      <c r="B14" t="s">
        <v>133</v>
      </c>
    </row>
    <row r="15" spans="2:7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>
      <c r="B26">
        <v>41</v>
      </c>
      <c r="C26" t="s">
        <v>238</v>
      </c>
      <c r="E26" s="91"/>
      <c r="F26" s="91"/>
      <c r="G26" s="91"/>
    </row>
    <row r="27" spans="2:7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>
      <c r="B32" t="s">
        <v>149</v>
      </c>
    </row>
    <row r="33" spans="2:7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>
      <c r="B37">
        <v>153</v>
      </c>
      <c r="C37" t="s">
        <v>239</v>
      </c>
      <c r="D37" s="91"/>
      <c r="E37" s="91"/>
      <c r="F37" s="91"/>
      <c r="G37" s="91"/>
    </row>
    <row r="38" spans="2:7">
      <c r="B38">
        <v>154</v>
      </c>
      <c r="C38" t="s">
        <v>240</v>
      </c>
      <c r="D38" s="91"/>
      <c r="E38" s="91"/>
      <c r="F38" s="91"/>
      <c r="G38" s="91"/>
    </row>
    <row r="39" spans="2:7">
      <c r="B39" t="s">
        <v>241</v>
      </c>
    </row>
    <row r="40" spans="2:7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>
      <c r="B43">
        <v>205</v>
      </c>
      <c r="C43" t="s">
        <v>242</v>
      </c>
      <c r="E43" s="91"/>
      <c r="F43" s="91"/>
      <c r="G43" s="91"/>
    </row>
    <row r="44" spans="2:7">
      <c r="B44">
        <v>206</v>
      </c>
      <c r="C44" t="s">
        <v>243</v>
      </c>
      <c r="E44" s="91"/>
      <c r="F44" s="91"/>
      <c r="G44" s="91"/>
    </row>
    <row r="45" spans="2:7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>
      <c r="B47">
        <v>216</v>
      </c>
      <c r="C47" t="s">
        <v>245</v>
      </c>
    </row>
    <row r="48" spans="2:7">
      <c r="B48">
        <v>260</v>
      </c>
      <c r="C48" t="s">
        <v>246</v>
      </c>
    </row>
    <row r="49" spans="2:7">
      <c r="B49">
        <v>270</v>
      </c>
      <c r="C49" t="s">
        <v>247</v>
      </c>
    </row>
    <row r="50" spans="2:7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>
      <c r="B53" t="s">
        <v>249</v>
      </c>
    </row>
    <row r="54" spans="2:7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>
      <c r="B62">
        <v>601</v>
      </c>
      <c r="C62" t="s">
        <v>255</v>
      </c>
    </row>
    <row r="63" spans="2:7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>
      <c r="B65">
        <v>706</v>
      </c>
      <c r="C65" t="s">
        <v>256</v>
      </c>
    </row>
    <row r="66" spans="2:7">
      <c r="B66">
        <v>803</v>
      </c>
      <c r="C66" t="s">
        <v>257</v>
      </c>
    </row>
    <row r="67" spans="2:7">
      <c r="B67">
        <v>805</v>
      </c>
      <c r="C67" t="s">
        <v>258</v>
      </c>
    </row>
    <row r="68" spans="2:7">
      <c r="B68" t="s">
        <v>259</v>
      </c>
    </row>
    <row r="69" spans="2:7">
      <c r="B69">
        <v>1001</v>
      </c>
      <c r="C69" t="s">
        <v>260</v>
      </c>
    </row>
    <row r="70" spans="2:7">
      <c r="B70">
        <v>1002</v>
      </c>
      <c r="C70" t="s">
        <v>261</v>
      </c>
    </row>
    <row r="71" spans="2:7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>
      <c r="B79">
        <v>1114</v>
      </c>
      <c r="C79" t="s">
        <v>264</v>
      </c>
      <c r="E79" s="91"/>
      <c r="F79" s="91"/>
      <c r="G79" s="91"/>
    </row>
    <row r="80" spans="2:7">
      <c r="B80">
        <v>1181</v>
      </c>
      <c r="C80" t="s">
        <v>265</v>
      </c>
      <c r="E80" s="91"/>
      <c r="F80" s="91"/>
      <c r="G80" s="91"/>
    </row>
    <row r="81" spans="2:7">
      <c r="B81">
        <v>1201</v>
      </c>
      <c r="C81" t="s">
        <v>266</v>
      </c>
      <c r="E81" s="91"/>
      <c r="F81" s="91"/>
      <c r="G81" s="91"/>
    </row>
    <row r="82" spans="2:7">
      <c r="B82">
        <v>1211</v>
      </c>
      <c r="C82" t="s">
        <v>267</v>
      </c>
      <c r="E82" s="91"/>
      <c r="F82" s="91"/>
      <c r="G82" s="91"/>
    </row>
    <row r="83" spans="2:7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>
      <c r="B84">
        <v>1256</v>
      </c>
      <c r="C84" t="s">
        <v>268</v>
      </c>
      <c r="E84" s="91"/>
      <c r="F84" s="91"/>
      <c r="G84" s="91"/>
    </row>
    <row r="85" spans="2:7">
      <c r="B85">
        <v>1281</v>
      </c>
      <c r="C85" t="s">
        <v>269</v>
      </c>
      <c r="E85" s="91"/>
      <c r="F85" s="91"/>
      <c r="G85" s="91"/>
    </row>
    <row r="86" spans="2:7">
      <c r="B86">
        <v>1289</v>
      </c>
      <c r="C86" t="s">
        <v>270</v>
      </c>
      <c r="E86" s="91"/>
      <c r="F86" s="91"/>
      <c r="G86" s="91"/>
    </row>
    <row r="87" spans="2:7">
      <c r="B87">
        <v>1312</v>
      </c>
      <c r="C87" t="s">
        <v>271</v>
      </c>
      <c r="E87" s="91"/>
      <c r="F87" s="91"/>
      <c r="G87" s="91"/>
    </row>
    <row r="88" spans="2:7">
      <c r="B88">
        <v>1313</v>
      </c>
      <c r="C88" t="s">
        <v>272</v>
      </c>
      <c r="E88" s="91"/>
      <c r="F88" s="91"/>
      <c r="G88" s="91"/>
    </row>
    <row r="89" spans="2:7">
      <c r="B89">
        <v>1381</v>
      </c>
      <c r="C89" t="s">
        <v>273</v>
      </c>
      <c r="E89" s="91"/>
      <c r="F89" s="91"/>
      <c r="G89" s="91"/>
    </row>
    <row r="90" spans="2:7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>
      <c r="B92">
        <v>1403</v>
      </c>
      <c r="C92" t="s">
        <v>275</v>
      </c>
      <c r="D92" s="91"/>
      <c r="E92" s="91"/>
      <c r="F92" s="91"/>
      <c r="G92" s="91"/>
    </row>
    <row r="93" spans="2:7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>
      <c r="B94" t="s">
        <v>190</v>
      </c>
    </row>
    <row r="95" spans="2:7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>
      <c r="B97">
        <v>1503</v>
      </c>
      <c r="C97" t="s">
        <v>278</v>
      </c>
      <c r="D97" s="91"/>
      <c r="E97" s="91"/>
      <c r="F97" s="91"/>
      <c r="G97" s="91"/>
    </row>
    <row r="98" spans="2:7">
      <c r="B98">
        <v>1511</v>
      </c>
      <c r="C98" t="s">
        <v>279</v>
      </c>
      <c r="D98" s="91"/>
      <c r="E98" s="91"/>
      <c r="F98" s="91"/>
      <c r="G98" s="91"/>
    </row>
    <row r="99" spans="2:7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>
      <c r="B101">
        <v>1591</v>
      </c>
      <c r="C101" t="s">
        <v>282</v>
      </c>
      <c r="D101" s="91"/>
      <c r="E101" s="91"/>
      <c r="F101" s="91"/>
      <c r="G101" s="91"/>
    </row>
    <row r="102" spans="2:7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>
      <c r="B106" t="s">
        <v>199</v>
      </c>
    </row>
    <row r="107" spans="2:7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>
      <c r="B116">
        <v>913</v>
      </c>
      <c r="C116" t="s">
        <v>203</v>
      </c>
      <c r="D116" s="91">
        <v>20.8</v>
      </c>
    </row>
    <row r="117" spans="2:7">
      <c r="B117">
        <v>914</v>
      </c>
      <c r="C117" t="s">
        <v>200</v>
      </c>
      <c r="D117" s="91">
        <v>20.8</v>
      </c>
    </row>
    <row r="118" spans="2:7">
      <c r="B118">
        <v>917</v>
      </c>
      <c r="C118" t="s">
        <v>289</v>
      </c>
      <c r="D118" s="91"/>
      <c r="E118" s="91"/>
      <c r="F118" s="91"/>
      <c r="G118" s="91"/>
    </row>
    <row r="119" spans="2:7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>
      <c r="B120">
        <v>919</v>
      </c>
      <c r="C120" t="s">
        <v>205</v>
      </c>
      <c r="D120" s="91">
        <v>20.8</v>
      </c>
    </row>
    <row r="121" spans="2:7">
      <c r="B121">
        <v>920</v>
      </c>
      <c r="C121" t="s">
        <v>204</v>
      </c>
      <c r="D121" s="91">
        <v>20.8</v>
      </c>
    </row>
    <row r="122" spans="2:7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>
      <c r="B123">
        <v>959</v>
      </c>
      <c r="C123" t="s">
        <v>206</v>
      </c>
      <c r="D123" s="91">
        <v>20.8</v>
      </c>
    </row>
    <row r="124" spans="2:7">
      <c r="B124" t="s">
        <v>290</v>
      </c>
    </row>
    <row r="125" spans="2:7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>
      <c r="B130" t="s">
        <v>222</v>
      </c>
    </row>
    <row r="131" spans="2:7">
      <c r="B131">
        <v>1701</v>
      </c>
      <c r="C131" t="s">
        <v>291</v>
      </c>
    </row>
    <row r="132" spans="2:7">
      <c r="B132">
        <v>1704</v>
      </c>
      <c r="C132" t="s">
        <v>292</v>
      </c>
    </row>
    <row r="133" spans="2:7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>
      <c r="B134">
        <v>1801</v>
      </c>
      <c r="C134" t="s">
        <v>294</v>
      </c>
      <c r="D134" s="91"/>
      <c r="E134" s="91"/>
      <c r="F134" s="91"/>
      <c r="G134" s="91"/>
    </row>
    <row r="135" spans="2:7">
      <c r="B135">
        <v>1802</v>
      </c>
      <c r="C135" t="s">
        <v>295</v>
      </c>
      <c r="D135" s="91"/>
      <c r="E135" s="91"/>
      <c r="F135" s="91"/>
      <c r="G135" s="91"/>
    </row>
    <row r="136" spans="2:7">
      <c r="B136">
        <v>1820</v>
      </c>
      <c r="C136" t="s">
        <v>296</v>
      </c>
      <c r="D136" s="91"/>
      <c r="E136" s="91"/>
      <c r="F136" s="91"/>
      <c r="G136" s="91"/>
    </row>
    <row r="137" spans="2:7">
      <c r="B137">
        <v>1877</v>
      </c>
      <c r="C137" t="s">
        <v>297</v>
      </c>
      <c r="D137" s="91"/>
      <c r="E137" s="91"/>
      <c r="F137" s="91"/>
      <c r="G137" s="91"/>
    </row>
    <row r="138" spans="2:7">
      <c r="B138">
        <v>1901</v>
      </c>
      <c r="C138" t="s">
        <v>298</v>
      </c>
      <c r="D138" s="91"/>
      <c r="E138" s="91"/>
      <c r="F138" s="91"/>
      <c r="G138" s="91"/>
    </row>
    <row r="139" spans="2:7">
      <c r="B139">
        <v>1902</v>
      </c>
      <c r="C139" t="s">
        <v>299</v>
      </c>
      <c r="D139" s="91"/>
      <c r="E139" s="91"/>
      <c r="F139" s="91"/>
      <c r="G139" s="91"/>
    </row>
    <row r="140" spans="2:7">
      <c r="B140">
        <v>1903</v>
      </c>
      <c r="C140" t="s">
        <v>300</v>
      </c>
      <c r="D140" s="91"/>
      <c r="E140" s="91"/>
      <c r="F140" s="91"/>
      <c r="G140" s="91"/>
    </row>
    <row r="141" spans="2:7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>
      <c r="B142">
        <v>1912</v>
      </c>
      <c r="C142" t="s">
        <v>302</v>
      </c>
    </row>
    <row r="143" spans="2:7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ColWidth="8.83203125" defaultRowHeight="12" x14ac:dyDescent="0"/>
  <sheetData>
    <row r="6" spans="2:3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PVT</vt:lpstr>
      <vt:lpstr>Props</vt:lpstr>
      <vt:lpstr>Props (2)</vt:lpstr>
      <vt:lpstr>Ref State</vt:lpstr>
      <vt:lpstr>Crit. Props</vt:lpstr>
      <vt:lpstr>IG Cps</vt:lpstr>
      <vt:lpstr>rev. 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Gregory</cp:lastModifiedBy>
  <dcterms:created xsi:type="dcterms:W3CDTF">2011-01-25T03:35:55Z</dcterms:created>
  <dcterms:modified xsi:type="dcterms:W3CDTF">2017-03-22T01:51:06Z</dcterms:modified>
</cp:coreProperties>
</file>