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9 Excel Sheets/"/>
    </mc:Choice>
  </mc:AlternateContent>
  <xr:revisionPtr revIDLastSave="0" documentId="10_ncr:8100000_{0668A0F9-73C4-094F-817B-9FBB554D1F71}" xr6:coauthVersionLast="34" xr6:coauthVersionMax="34" xr10:uidLastSave="{00000000-0000-0000-0000-000000000000}"/>
  <bookViews>
    <workbookView xWindow="2480" yWindow="460" windowWidth="23120" windowHeight="15540" tabRatio="538" activeTab="3" xr2:uid="{00000000-000D-0000-FFFF-FFFF00000000}"/>
  </bookViews>
  <sheets>
    <sheet name="Instructions" sheetId="1" r:id="rId1"/>
    <sheet name="PVT" sheetId="2" r:id="rId2"/>
    <sheet name="Props" sheetId="3" r:id="rId3"/>
    <sheet name="Props (2)" sheetId="8" r:id="rId4"/>
    <sheet name="Ref State" sheetId="4" r:id="rId5"/>
    <sheet name="Crit. Props" sheetId="5" r:id="rId6"/>
    <sheet name="IG Cps" sheetId="6" r:id="rId7"/>
    <sheet name="rev. info" sheetId="7" r:id="rId8"/>
  </sheets>
  <definedNames>
    <definedName name="_a" localSheetId="2">Props!$I$25</definedName>
    <definedName name="_a" localSheetId="3">'Props (2)'!$I$25</definedName>
    <definedName name="_a">'Ref State'!$I$28</definedName>
    <definedName name="_b" localSheetId="2">Props!$I$27</definedName>
    <definedName name="_b" localSheetId="3">'Props (2)'!$I$27</definedName>
    <definedName name="_b">'Ref State'!$I$30</definedName>
    <definedName name="_R">'Ref State'!$I$26</definedName>
    <definedName name="A" localSheetId="2">Props!$J$28</definedName>
    <definedName name="A" localSheetId="3">'Props (2)'!$J$28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3">'Props (2)'!$H$27</definedName>
    <definedName name="alpha" localSheetId="1">PVT!$H$10</definedName>
    <definedName name="alpha">'Ref State'!$H$30</definedName>
    <definedName name="B" localSheetId="2">Props!$J$29</definedName>
    <definedName name="B" localSheetId="3">'Props (2)'!$J$29</definedName>
    <definedName name="B" localSheetId="1">PVT!$J$12</definedName>
    <definedName name="B">'Ref State'!$J$32</definedName>
    <definedName name="b_" localSheetId="1">PVT!$I$10</definedName>
    <definedName name="CPA" localSheetId="3">'Props (2)'!$E$4</definedName>
    <definedName name="CPA">Props!$E$4</definedName>
    <definedName name="CPB" localSheetId="3">'Props (2)'!$F$4</definedName>
    <definedName name="CPB">Props!$F$4</definedName>
    <definedName name="CPC" localSheetId="3">'Props (2)'!$G$4</definedName>
    <definedName name="CPC">Props!$G$4</definedName>
    <definedName name="CPD" localSheetId="3">'Props (2)'!$H$4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3">'Props (2)'!$H$26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3">'Props (2)'!$B$8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 localSheetId="3">'Props (2)'!$H$25</definedName>
    <definedName name="Pr">'Ref State'!$H$28</definedName>
    <definedName name="PREF">'Ref State'!$B$8</definedName>
    <definedName name="q" localSheetId="2">Props!$E$20</definedName>
    <definedName name="q" localSheetId="3">'Props (2)'!$E$20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3" hidden="1">'Props (2)'!$K$15</definedName>
    <definedName name="solver_adj" localSheetId="1" hidden="1">PVT!$B$7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1" hidden="1">100</definedName>
    <definedName name="solver_lhs1" localSheetId="3" hidden="1">'Props (2)'!$B$7</definedName>
    <definedName name="solver_lhs1" localSheetId="1" hidden="1">PVT!$B$7</definedName>
    <definedName name="solver_lin" localSheetId="2" hidden="1">2</definedName>
    <definedName name="solver_lin" localSheetId="3" hidden="1">2</definedName>
    <definedName name="solver_lin" localSheetId="1" hidden="1">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eg" localSheetId="1" hidden="1">2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um" localSheetId="1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2" hidden="1">Props!$F$12</definedName>
    <definedName name="solver_opt" localSheetId="3" hidden="1">'Props (2)'!$K$16</definedName>
    <definedName name="solver_opt" localSheetId="1" hidden="1">PVT!$H$12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el1" localSheetId="3" hidden="1">3</definedName>
    <definedName name="solver_rel1" localSheetId="1" hidden="1">1</definedName>
    <definedName name="solver_rhs1" localSheetId="3" hidden="1">279</definedName>
    <definedName name="solver_rhs1" localSheetId="1" hidden="1">PVT!$B$4</definedName>
    <definedName name="solver_rlx" localSheetId="2" hidden="1">1</definedName>
    <definedName name="solver_rlx" localSheetId="3" hidden="1">1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cl" localSheetId="1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1" hidden="1">3</definedName>
    <definedName name="solver_val" localSheetId="2" hidden="1">-657.5523143</definedName>
    <definedName name="solver_val" localSheetId="3" hidden="1">-10400</definedName>
    <definedName name="solver_val" localSheetId="1" hidden="1">1</definedName>
    <definedName name="solver_ver" localSheetId="2" hidden="1">2</definedName>
    <definedName name="solver_ver" localSheetId="3" hidden="1">2</definedName>
    <definedName name="Tc" localSheetId="3">'Props (2)'!$B$4</definedName>
    <definedName name="Tc" localSheetId="1">PVT!$B$4</definedName>
    <definedName name="Tc">Props!$B$4</definedName>
    <definedName name="TK" localSheetId="2">Props!$B$7</definedName>
    <definedName name="TK" localSheetId="3">'Props (2)'!$B$7</definedName>
    <definedName name="TK" localSheetId="1">PVT!$B$7</definedName>
    <definedName name="TK">'Ref State'!$B$7</definedName>
    <definedName name="Tr" localSheetId="2">Props!$H$24</definedName>
    <definedName name="Tr" localSheetId="3">'Props (2)'!$H$24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3">'Props (2)'!$C$9:$C$12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8" l="1"/>
  <c r="H24" i="8" l="1"/>
  <c r="H27" i="8" s="1"/>
  <c r="I25" i="8" s="1"/>
  <c r="J28" i="8" s="1"/>
  <c r="J4" i="8"/>
  <c r="K4" i="8" s="1"/>
  <c r="H24" i="3"/>
  <c r="H26" i="3"/>
  <c r="H27" i="3"/>
  <c r="I25" i="3" s="1"/>
  <c r="J28" i="3" s="1"/>
  <c r="I27" i="3"/>
  <c r="J29" i="3"/>
  <c r="A20" i="3" s="1"/>
  <c r="H26" i="8"/>
  <c r="I27" i="8"/>
  <c r="J29" i="8" s="1"/>
  <c r="A20" i="8" s="1"/>
  <c r="L4" i="8"/>
  <c r="L17" i="8"/>
  <c r="B35" i="8"/>
  <c r="D34" i="8"/>
  <c r="B34" i="8"/>
  <c r="D33" i="8"/>
  <c r="B33" i="8"/>
  <c r="H25" i="8"/>
  <c r="B4" i="4"/>
  <c r="H27" i="4" s="1"/>
  <c r="D4" i="4"/>
  <c r="H29" i="4" s="1"/>
  <c r="H30" i="4" s="1"/>
  <c r="I28" i="4" s="1"/>
  <c r="J31" i="4" s="1"/>
  <c r="C4" i="4"/>
  <c r="C18" i="4"/>
  <c r="D18" i="4"/>
  <c r="I10" i="2"/>
  <c r="J12" i="2"/>
  <c r="A18" i="2" s="1"/>
  <c r="H9" i="2"/>
  <c r="H10" i="2" s="1"/>
  <c r="I8" i="2" s="1"/>
  <c r="J11" i="2" s="1"/>
  <c r="H7" i="2"/>
  <c r="H8" i="2"/>
  <c r="D59" i="6"/>
  <c r="J4" i="3"/>
  <c r="K4" i="3" s="1"/>
  <c r="I26" i="4"/>
  <c r="D34" i="3"/>
  <c r="D33" i="3"/>
  <c r="B35" i="3"/>
  <c r="B34" i="3"/>
  <c r="B33" i="3"/>
  <c r="H25" i="3"/>
  <c r="A4" i="4"/>
  <c r="H28" i="4"/>
  <c r="L4" i="3"/>
  <c r="E18" i="4"/>
  <c r="E20" i="3" l="1"/>
  <c r="B20" i="3"/>
  <c r="D20" i="3" s="1"/>
  <c r="A30" i="3" s="1"/>
  <c r="C20" i="3"/>
  <c r="C18" i="2"/>
  <c r="B18" i="2"/>
  <c r="D18" i="2" s="1"/>
  <c r="A26" i="2" s="1"/>
  <c r="B20" i="8"/>
  <c r="D20" i="8" s="1"/>
  <c r="A30" i="8" s="1"/>
  <c r="C20" i="8"/>
  <c r="I30" i="4"/>
  <c r="J32" i="4" s="1"/>
  <c r="A23" i="4" s="1"/>
  <c r="B26" i="3" l="1"/>
  <c r="B30" i="3"/>
  <c r="C30" i="3" s="1"/>
  <c r="D30" i="3" s="1"/>
  <c r="G30" i="3" s="1"/>
  <c r="C11" i="3" s="1"/>
  <c r="H18" i="3"/>
  <c r="A26" i="3"/>
  <c r="E20" i="8"/>
  <c r="B23" i="4"/>
  <c r="D23" i="4" s="1"/>
  <c r="A33" i="4" s="1"/>
  <c r="E18" i="2"/>
  <c r="C23" i="4"/>
  <c r="E11" i="3" l="1"/>
  <c r="D11" i="3"/>
  <c r="I11" i="3"/>
  <c r="K11" i="3"/>
  <c r="F30" i="3"/>
  <c r="C10" i="3" s="1"/>
  <c r="E30" i="3"/>
  <c r="C9" i="3" s="1"/>
  <c r="H18" i="8"/>
  <c r="B26" i="8" s="1"/>
  <c r="B30" i="8"/>
  <c r="C30" i="8" s="1"/>
  <c r="D30" i="8" s="1"/>
  <c r="B26" i="2"/>
  <c r="C26" i="2" s="1"/>
  <c r="D26" i="2" s="1"/>
  <c r="A22" i="2"/>
  <c r="B22" i="2"/>
  <c r="H16" i="2"/>
  <c r="C26" i="3"/>
  <c r="C12" i="3" s="1"/>
  <c r="E23" i="4"/>
  <c r="A26" i="8" l="1"/>
  <c r="C26" i="8" s="1"/>
  <c r="C12" i="8" s="1"/>
  <c r="H21" i="4"/>
  <c r="B29" i="4" s="1"/>
  <c r="A29" i="4"/>
  <c r="B33" i="4"/>
  <c r="C33" i="4" s="1"/>
  <c r="D33" i="4" s="1"/>
  <c r="J11" i="3"/>
  <c r="F26" i="2"/>
  <c r="C10" i="2" s="1"/>
  <c r="D10" i="2" s="1"/>
  <c r="G26" i="2"/>
  <c r="C11" i="2" s="1"/>
  <c r="E26" i="2"/>
  <c r="C9" i="2" s="1"/>
  <c r="C22" i="2"/>
  <c r="C12" i="2" s="1"/>
  <c r="E12" i="3"/>
  <c r="D12" i="3"/>
  <c r="I12" i="3"/>
  <c r="K12" i="3"/>
  <c r="D9" i="3"/>
  <c r="E9" i="3"/>
  <c r="E14" i="3" s="1"/>
  <c r="K9" i="3"/>
  <c r="I9" i="3"/>
  <c r="G30" i="8"/>
  <c r="C11" i="8" s="1"/>
  <c r="F30" i="8"/>
  <c r="C10" i="8" s="1"/>
  <c r="E30" i="8"/>
  <c r="C9" i="8" s="1"/>
  <c r="D10" i="3"/>
  <c r="K10" i="3"/>
  <c r="I10" i="3"/>
  <c r="E9" i="8" l="1"/>
  <c r="D9" i="8"/>
  <c r="K9" i="8"/>
  <c r="I9" i="8"/>
  <c r="M13" i="8" s="1"/>
  <c r="J12" i="3"/>
  <c r="D9" i="2"/>
  <c r="E9" i="2"/>
  <c r="C29" i="4"/>
  <c r="E12" i="4" s="1"/>
  <c r="J10" i="3"/>
  <c r="K10" i="8"/>
  <c r="D10" i="8"/>
  <c r="I10" i="8"/>
  <c r="E11" i="2"/>
  <c r="D11" i="2"/>
  <c r="E33" i="4"/>
  <c r="E9" i="4" s="1"/>
  <c r="F33" i="4"/>
  <c r="E10" i="4" s="1"/>
  <c r="F10" i="4" s="1"/>
  <c r="G33" i="4"/>
  <c r="E11" i="4" s="1"/>
  <c r="D11" i="8"/>
  <c r="E11" i="8"/>
  <c r="K11" i="8"/>
  <c r="I11" i="8"/>
  <c r="J9" i="3"/>
  <c r="D12" i="2"/>
  <c r="E12" i="2"/>
  <c r="M10" i="3"/>
  <c r="D12" i="8"/>
  <c r="E12" i="8"/>
  <c r="I12" i="8"/>
  <c r="K12" i="8"/>
  <c r="M14" i="8" l="1"/>
  <c r="J9" i="8"/>
  <c r="G9" i="4"/>
  <c r="F9" i="4"/>
  <c r="H9" i="4"/>
  <c r="I9" i="4" s="1"/>
  <c r="J9" i="4"/>
  <c r="J10" i="8"/>
  <c r="J12" i="8"/>
  <c r="M11" i="8"/>
  <c r="H12" i="4"/>
  <c r="F12" i="4"/>
  <c r="G12" i="4"/>
  <c r="J12" i="4"/>
  <c r="F19" i="4" s="1"/>
  <c r="H9" i="8" s="1"/>
  <c r="J11" i="8"/>
  <c r="F11" i="4"/>
  <c r="G11" i="4"/>
  <c r="H11" i="4"/>
  <c r="I11" i="4" s="1"/>
  <c r="J11" i="4"/>
  <c r="H10" i="8"/>
  <c r="H12" i="2"/>
  <c r="E14" i="8"/>
  <c r="I12" i="4" l="1"/>
  <c r="E19" i="4" s="1"/>
  <c r="D19" i="4"/>
  <c r="H11" i="3"/>
  <c r="H9" i="3"/>
  <c r="H10" i="3"/>
  <c r="H12" i="3"/>
  <c r="H12" i="8"/>
  <c r="H11" i="8"/>
  <c r="F11" i="3" l="1"/>
  <c r="G11" i="3" s="1"/>
  <c r="F12" i="3"/>
  <c r="G12" i="3" s="1"/>
  <c r="F9" i="3"/>
  <c r="G9" i="3" s="1"/>
  <c r="F10" i="3"/>
  <c r="G10" i="3" s="1"/>
  <c r="F12" i="8"/>
  <c r="G12" i="8" s="1"/>
  <c r="F9" i="8"/>
  <c r="G9" i="8" s="1"/>
  <c r="F10" i="8"/>
  <c r="G10" i="8" s="1"/>
  <c r="F11" i="8"/>
  <c r="G11" i="8" s="1"/>
</calcChain>
</file>

<file path=xl/sharedStrings.xml><?xml version="1.0" encoding="utf-8"?>
<sst xmlns="http://schemas.openxmlformats.org/spreadsheetml/2006/main" count="592" uniqueCount="311">
  <si>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</si>
  <si>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</si>
  <si>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</si>
  <si>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</si>
  <si>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</si>
  <si>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</si>
  <si>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</si>
  <si>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</si>
  <si>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</si>
  <si>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</si>
  <si>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</si>
  <si>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</si>
  <si>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</si>
  <si>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</si>
  <si>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</si>
  <si>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</si>
  <si>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</si>
  <si>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</si>
  <si>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</si>
  <si>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</si>
  <si>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</si>
  <si>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</si>
  <si>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</si>
  <si>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</si>
  <si>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</si>
  <si>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</si>
  <si>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</si>
  <si>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</si>
  <si>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</si>
  <si>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</si>
  <si>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</si>
  <si>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</si>
  <si>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</si>
  <si>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</si>
  <si>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</si>
  <si>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</si>
  <si>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</si>
  <si>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</si>
  <si>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</si>
  <si>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</si>
  <si>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</si>
  <si>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</si>
  <si>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</si>
  <si>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</si>
  <si>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</si>
  <si>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</si>
  <si>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</si>
  <si>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</si>
  <si>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</si>
  <si>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</si>
  <si>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</si>
  <si>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</si>
  <si>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</si>
  <si>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</si>
  <si>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</si>
  <si>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</si>
  <si>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</si>
  <si>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</si>
  <si>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</si>
  <si>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</si>
  <si>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</si>
  <si>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</si>
  <si>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</si>
  <si>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</si>
  <si>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</si>
  <si>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</si>
  <si>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</si>
  <si>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</si>
  <si>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</si>
  <si>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</si>
  <si>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</si>
  <si>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</si>
  <si>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</si>
  <si>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</si>
  <si>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</si>
  <si>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</si>
  <si>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</si>
  <si>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</si>
  <si>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</si>
  <si>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</si>
  <si>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</si>
  <si>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</si>
  <si>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</si>
  <si>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</si>
  <si>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</si>
  <si>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</si>
  <si>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</si>
  <si>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</si>
  <si>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</si>
  <si>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</si>
  <si>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</si>
  <si>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</si>
  <si>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</si>
  <si>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</si>
  <si>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</si>
  <si>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</si>
  <si>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</si>
  <si>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</si>
  <si>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</si>
  <si>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</si>
  <si>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</si>
  <si>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</si>
  <si>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</si>
  <si>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</si>
  <si>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</si>
  <si>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</si>
  <si>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</si>
  <si>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</si>
  <si>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</si>
  <si>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</si>
  <si>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</si>
  <si>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</si>
  <si>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</si>
  <si>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</si>
  <si>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</si>
  <si>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</si>
  <si>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</si>
  <si>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</si>
  <si>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</si>
  <si>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</si>
  <si>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</si>
  <si>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</si>
  <si>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</si>
  <si>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</si>
  <si>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</si>
  <si>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</si>
  <si>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</si>
  <si>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</si>
  <si>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</si>
  <si>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</si>
  <si>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</si>
  <si>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</si>
  <si>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</si>
  <si>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</si>
  <si>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</si>
  <si>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</si>
  <si>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</si>
  <si>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</si>
  <si>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</si>
  <si>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</si>
  <si>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</si>
  <si>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</si>
  <si>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</si>
  <si>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</si>
  <si>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</si>
  <si>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</si>
  <si>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</si>
  <si>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</si>
  <si>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</si>
  <si>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</si>
  <si>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</si>
  <si>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</si>
  <si>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</si>
  <si>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</si>
  <si>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</si>
  <si>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</si>
  <si>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</si>
  <si>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</si>
  <si>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</si>
  <si>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</si>
  <si>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</si>
  <si>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</si>
  <si>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</si>
  <si>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</si>
  <si>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</si>
  <si>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</si>
  <si>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</si>
  <si>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</si>
  <si>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</si>
  <si>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</si>
  <si>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</si>
  <si>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</si>
  <si>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</si>
  <si>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</si>
  <si>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</si>
  <si>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</si>
  <si>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</si>
  <si>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</si>
  <si>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</si>
  <si>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</si>
  <si>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</si>
  <si>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</si>
  <si>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</si>
  <si>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</si>
  <si>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</si>
  <si>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</si>
  <si>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</si>
  <si>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</si>
  <si>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</si>
  <si>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</si>
  <si>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</si>
  <si>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</si>
  <si>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</si>
  <si>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</si>
  <si>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</si>
  <si>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</si>
  <si>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</si>
  <si>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</si>
  <si>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</si>
  <si>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</si>
  <si>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</si>
  <si>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</si>
  <si>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</si>
  <si>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</si>
  <si>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</si>
  <si>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</si>
  <si>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</si>
  <si>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</si>
  <si>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</si>
  <si>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</si>
  <si>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</si>
  <si>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</si>
  <si>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</si>
  <si>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</si>
  <si>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</si>
  <si>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</si>
  <si>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</si>
  <si>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</si>
  <si>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</si>
  <si>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</si>
  <si>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</si>
  <si>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</si>
  <si>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</si>
  <si>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</si>
  <si>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</si>
  <si>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</si>
  <si>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</si>
  <si>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</si>
  <si>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</si>
  <si>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</si>
  <si>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</si>
  <si>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</si>
  <si>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</si>
  <si>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</si>
  <si>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</si>
  <si>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</si>
  <si>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</si>
  <si>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</si>
  <si>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</si>
  <si>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</si>
  <si>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</si>
  <si>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</si>
  <si>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</si>
  <si>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</si>
  <si>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</si>
  <si>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</si>
  <si>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</si>
  <si>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</si>
  <si>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</si>
  <si>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</si>
  <si>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</si>
  <si>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</si>
  <si>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</si>
  <si>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</si>
  <si>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</si>
  <si>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</si>
  <si>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</si>
  <si>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</si>
  <si>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</si>
  <si>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</si>
  <si>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</si>
  <si>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</si>
  <si>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</si>
  <si>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</si>
  <si>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</si>
  <si>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</si>
  <si>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</si>
  <si>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</si>
  <si>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</si>
  <si>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</si>
  <si>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</si>
  <si>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</si>
  <si>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</si>
  <si>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</si>
  <si>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</si>
  <si>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</si>
  <si>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</si>
  <si>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</si>
  <si>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</si>
  <si>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</si>
  <si>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</si>
  <si>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</si>
  <si>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</si>
  <si>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</si>
  <si>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</si>
  <si>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</si>
  <si>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</si>
  <si>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</si>
  <si>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</si>
  <si>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</si>
  <si>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</si>
  <si>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</si>
  <si>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</si>
  <si>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</si>
  <si>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</si>
  <si>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</si>
  <si>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</si>
  <si>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</si>
  <si>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</si>
  <si>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</si>
  <si>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</si>
  <si>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</si>
  <si>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</si>
  <si>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</si>
  <si>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</si>
  <si>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</si>
  <si>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</si>
  <si>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</si>
  <si>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equals 0 Ex 8.3</t>
  </si>
  <si>
    <t>Cp</t>
  </si>
  <si>
    <t>H-Hig difference L-V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</si>
</sst>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0" xfId="0" applyFill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topLeftCell="A11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4" sqref="A4:C4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showGridLines="0" zoomScale="130" zoomScaleNormal="130" zoomScalePageLayoutView="130" workbookViewId="0">
      <selection activeCell="A4" sqref="A4:H4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3" x14ac:dyDescent="0.15">
      <c r="A1" t="s">
        <v>20</v>
      </c>
      <c r="F1" t="s">
        <v>21</v>
      </c>
    </row>
    <row r="2" spans="1:13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3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3" x14ac:dyDescent="0.15">
      <c r="A4" t="s">
        <v>215</v>
      </c>
      <c r="B4">
        <v>304.2</v>
      </c>
      <c r="C4">
        <v>7.3819999999999997</v>
      </c>
      <c r="D4">
        <v>0.22800000000000001</v>
      </c>
      <c r="E4" s="91">
        <v>19.8</v>
      </c>
      <c r="F4" s="91">
        <v>7.3440000000000005E-2</v>
      </c>
      <c r="G4" s="91">
        <v>-5.6020000000000002E-5</v>
      </c>
      <c r="H4" s="91">
        <v>1.7150000000000001E-8</v>
      </c>
      <c r="I4" s="20"/>
      <c r="J4" s="4">
        <f>CPA*(TK-TREF)+CPB/2*(TK^2-TREF^2)+CPC/3*(TK^3-TREF^3)+CPD/4*(TK^4-TREF^4)</f>
        <v>0</v>
      </c>
      <c r="K4" s="20">
        <f>J4-_R*(TK-TREF)</f>
        <v>0</v>
      </c>
      <c r="L4" s="21">
        <f>CPA*LN(TK/TREF)+CPB*(TK-TREF)+CPC/2*(TK^2-TREF^2)+CPD/3*(TK^3-TREF^3)-_R*LN(P/PREF)</f>
        <v>-22.433275824389291</v>
      </c>
    </row>
    <row r="5" spans="1:13" ht="14" thickBot="1" x14ac:dyDescent="0.2"/>
    <row r="6" spans="1:13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3" ht="16" thickTop="1" x14ac:dyDescent="0.15">
      <c r="A7" s="5" t="s">
        <v>32</v>
      </c>
      <c r="B7" s="48">
        <v>298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3" ht="16" thickBot="1" x14ac:dyDescent="0.2">
      <c r="A8" s="7" t="s">
        <v>38</v>
      </c>
      <c r="B8" s="49">
        <v>1.5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3" x14ac:dyDescent="0.15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 t="s">
        <v>310</v>
      </c>
    </row>
    <row r="10" spans="1:13" x14ac:dyDescent="0.15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e">
        <f>I11-I9</f>
        <v>#NUM!</v>
      </c>
    </row>
    <row r="11" spans="1:13" ht="14" thickBot="1" x14ac:dyDescent="0.2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3" ht="14" thickBot="1" x14ac:dyDescent="0.2">
      <c r="A12" s="40" t="s">
        <v>49</v>
      </c>
      <c r="B12" s="55"/>
      <c r="C12" s="35">
        <f>C26-A20/3</f>
        <v>0.91414387366874128</v>
      </c>
      <c r="D12" s="32">
        <f>C12*$I$23*$B$7/$B$8</f>
        <v>1509.9905634626039</v>
      </c>
      <c r="E12" s="31">
        <f>P*EXP(Z-1-LN(Z-B)-A/B/2.8284*LN((Z+2.4142*B)/(Z-0.4142*B)))</f>
        <v>1.379291888248908</v>
      </c>
      <c r="F12" s="35">
        <f>I12+$J$4-'Ref State'!$D$19+'Ref State'!$D$18</f>
        <v>-657.55231428474269</v>
      </c>
      <c r="G12" s="35">
        <f>F12-Z*_R*TK</f>
        <v>-2922.5381594786486</v>
      </c>
      <c r="H12" s="35">
        <f>K12+$L$4-'Ref State'!$F$19+'Ref State'!$F$18</f>
        <v>-23.942285707873875</v>
      </c>
      <c r="I12" s="35">
        <f>_R*TK*(Z-1-A/B/2.8284*(1+kappa*SQRT(Tr/alpha))*LN((Z+2.4142*B)/(Z-0.4142*B)))</f>
        <v>-657.55231428474269</v>
      </c>
      <c r="J12" s="35">
        <f>I12-(Z-1)*_R*TK</f>
        <v>-444.8255034786481</v>
      </c>
      <c r="K12" s="32">
        <f>_R*LN(Z-B)-A*_R/B/2.8284*kappa*SQRT(Tr/alpha)*LN((Z+2.4142*B)/(Z-0.4142*B))</f>
        <v>-1.5090098834845844</v>
      </c>
    </row>
    <row r="13" spans="1:13" x14ac:dyDescent="0.15">
      <c r="A13" s="17"/>
      <c r="B13" s="17"/>
      <c r="E13" s="88" t="s">
        <v>96</v>
      </c>
      <c r="F13" s="17"/>
      <c r="G13" s="17"/>
      <c r="H13" s="17"/>
      <c r="I13" s="17"/>
    </row>
    <row r="14" spans="1:13" x14ac:dyDescent="0.15">
      <c r="C14" s="17"/>
      <c r="D14" s="17"/>
      <c r="E14" s="89" t="e">
        <f>E9/E11</f>
        <v>#NUM!</v>
      </c>
      <c r="F14" s="17"/>
      <c r="G14" s="17"/>
    </row>
    <row r="15" spans="1:13" x14ac:dyDescent="0.15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3" x14ac:dyDescent="0.15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5.0816269211847662E-6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-0.98386318410982909</v>
      </c>
      <c r="B20" s="23">
        <f>J28-3*J29^2-2*J29</f>
        <v>6.5178075197517282E-2</v>
      </c>
      <c r="C20" s="23">
        <f>-(J28*J29-J29^2-J29^3)</f>
        <v>-1.3205673779250555E-3</v>
      </c>
      <c r="D20" s="23">
        <f>(3*B20-A20^2)/3</f>
        <v>-0.25748417981805988</v>
      </c>
      <c r="E20" s="23">
        <f>(2*A20^3-9*A20*B20+27*C20)/27</f>
        <v>-5.0490800870083848E-2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 ht="15" x14ac:dyDescent="0.15">
      <c r="G23" s="23" t="s">
        <v>31</v>
      </c>
      <c r="H23" s="11"/>
      <c r="I23" s="90">
        <v>8.3144720000000003</v>
      </c>
      <c r="J23" s="23"/>
      <c r="M23" s="86"/>
    </row>
    <row r="24" spans="1:13" ht="16" x14ac:dyDescent="0.2">
      <c r="A24" t="s">
        <v>64</v>
      </c>
      <c r="G24" s="1" t="s">
        <v>36</v>
      </c>
      <c r="H24" s="16">
        <f>TK/B4</f>
        <v>0.97961867192636432</v>
      </c>
      <c r="I24" s="23" t="s">
        <v>37</v>
      </c>
      <c r="J24" s="23"/>
      <c r="L24" s="17"/>
      <c r="M24" s="86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0.2031969655919805</v>
      </c>
      <c r="I25" s="11">
        <f>0.4572355289*(B4*I23)^2*H27/C4</f>
        <v>402038.43469020899</v>
      </c>
      <c r="J25" s="12"/>
      <c r="L25" s="86"/>
      <c r="M25" s="86"/>
    </row>
    <row r="26" spans="1:13" ht="15" x14ac:dyDescent="0.15">
      <c r="A26" s="23">
        <f>(-$E$20/2+SQRT($H$18))^(1/3)</f>
        <v>0.30183924479164026</v>
      </c>
      <c r="B26" s="23">
        <f>(-$E$20/2-SQRT($H$18))^(1/3)</f>
        <v>0.28435023417382466</v>
      </c>
      <c r="C26" s="23">
        <f>A26+B26</f>
        <v>0.58618947896546492</v>
      </c>
      <c r="D26" s="17"/>
      <c r="G26" s="3" t="s">
        <v>43</v>
      </c>
      <c r="H26" s="18">
        <f>0.37464+1.54226*D4-0.26992*D4^2</f>
        <v>0.71224375872000001</v>
      </c>
      <c r="I26" s="23" t="s">
        <v>44</v>
      </c>
      <c r="J26" s="23"/>
      <c r="L26" s="86"/>
      <c r="M26" s="86"/>
    </row>
    <row r="27" spans="1:13" x14ac:dyDescent="0.15">
      <c r="G27" s="19" t="s">
        <v>46</v>
      </c>
      <c r="H27" s="21">
        <f>(1+kappa*(1-SQRT(Tr)))^2</f>
        <v>1.0146444292789552</v>
      </c>
      <c r="I27" s="11">
        <f>0.0777960739*I23*B4/C4</f>
        <v>26.654928639078904</v>
      </c>
      <c r="J27" s="12"/>
      <c r="L27" s="86"/>
      <c r="M27" s="86"/>
    </row>
    <row r="28" spans="1:13" x14ac:dyDescent="0.15">
      <c r="A28" t="s">
        <v>70</v>
      </c>
      <c r="I28" s="1" t="s">
        <v>48</v>
      </c>
      <c r="J28" s="16">
        <f>I25*B8/(I23*B7)^2</f>
        <v>9.8232897459078913E-2</v>
      </c>
      <c r="L28" s="86"/>
      <c r="M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1.6136815890170905E-2</v>
      </c>
      <c r="L29" s="86"/>
      <c r="M29" s="86"/>
    </row>
    <row r="30" spans="1:13" x14ac:dyDescent="0.15">
      <c r="A30" s="23">
        <f>2*SQRT(-D20/3)</f>
        <v>0.58592852785763316</v>
      </c>
      <c r="B30" s="23">
        <f>3*E20/D20/A30</f>
        <v>1.0040106509285607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 x14ac:dyDescent="0.15">
      <c r="L31" s="86"/>
      <c r="M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0.10100000000000001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showGridLines="0" tabSelected="1" zoomScale="130" zoomScaleNormal="130" zoomScalePageLayoutView="130" workbookViewId="0">
      <selection activeCell="K17" sqref="K17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  <col min="13" max="13" width="13" bestFit="1" customWidth="1"/>
  </cols>
  <sheetData>
    <row r="1" spans="1:14" x14ac:dyDescent="0.15">
      <c r="A1" t="s">
        <v>20</v>
      </c>
      <c r="F1" t="s">
        <v>21</v>
      </c>
    </row>
    <row r="2" spans="1:14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4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4" x14ac:dyDescent="0.15">
      <c r="A4" t="s">
        <v>215</v>
      </c>
      <c r="B4">
        <v>304.2</v>
      </c>
      <c r="C4">
        <v>7.3819999999999997</v>
      </c>
      <c r="D4">
        <v>0.22800000000000001</v>
      </c>
      <c r="E4" s="91">
        <v>19.8</v>
      </c>
      <c r="F4" s="91">
        <v>7.3440000000000005E-2</v>
      </c>
      <c r="G4" s="91">
        <v>-5.6020000000000002E-5</v>
      </c>
      <c r="H4" s="91">
        <v>1.7150000000000001E-8</v>
      </c>
      <c r="I4" s="20"/>
      <c r="J4" s="4">
        <f>CPA*(TK-TREF)+CPB/2*(TK^2-TREF^2)+CPC/3*(TK^3-TREF^3)+CPD/4*(TK^4-TREF^4)</f>
        <v>-3898.043044214472</v>
      </c>
      <c r="K4" s="20">
        <f>J4-_R*(TK-TREF)</f>
        <v>-2957.5483007373068</v>
      </c>
      <c r="L4" s="21">
        <f>CPA*LN(TK/TREF)+CPB*(TK-TREF)+CPC/2*(TK^2-TREF^2)+CPD/3*(TK^3-TREF^3)-_R*LN(P/PREF)</f>
        <v>-16.261424050904445</v>
      </c>
    </row>
    <row r="5" spans="1:14" ht="14" thickBot="1" x14ac:dyDescent="0.2"/>
    <row r="6" spans="1:14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4" ht="16" thickTop="1" x14ac:dyDescent="0.15">
      <c r="A7" s="5" t="s">
        <v>32</v>
      </c>
      <c r="B7" s="48">
        <v>184.8846099334792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4" ht="16" thickBot="1" x14ac:dyDescent="0.2">
      <c r="A8" s="7" t="s">
        <v>38</v>
      </c>
      <c r="B8" s="49">
        <v>0.1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4" x14ac:dyDescent="0.15">
      <c r="A9" s="36" t="s">
        <v>42</v>
      </c>
      <c r="B9" s="44"/>
      <c r="C9" s="29">
        <f>E30-$A$20/3</f>
        <v>0.97892634976214576</v>
      </c>
      <c r="D9" s="6">
        <f>C9*$I$23*$B$7/$B$8</f>
        <v>15048.231198949639</v>
      </c>
      <c r="E9" s="5">
        <f>P*EXP(Z-1-LN(Z-B)-A/B/2.8284*LN((Z+2.4142*B)/(Z-0.4142*B)))</f>
        <v>9.7932631341759085E-2</v>
      </c>
      <c r="F9" s="29">
        <f>I9+$J$4-'Ref State'!$D$19+'Ref State'!$D$18</f>
        <v>-3982.5083621199487</v>
      </c>
      <c r="G9" s="29">
        <f>F9-Z*_R*TK</f>
        <v>-5487.3314820149126</v>
      </c>
      <c r="H9" s="29">
        <f>K9+$L$4-'Ref State'!$F$19+'Ref State'!$F$18</f>
        <v>-16.544585819370194</v>
      </c>
      <c r="I9" s="29">
        <f>_R*TK*(Z-1-A/B/2.8284*(1+kappa*SQRT(Tr/alpha))*LN((Z+2.4142*B)/(Z-0.4142*B)))</f>
        <v>-84.465317905476695</v>
      </c>
      <c r="J9" s="29">
        <f>I9-(Z-1)*_R*TK</f>
        <v>-52.070525277606066</v>
      </c>
      <c r="K9" s="6">
        <f>_R*LN(Z-B)-A*_R/B/2.8284*kappa*SQRT(Tr/alpha)*LN((Z+2.4142*B)/(Z-0.4142*B))</f>
        <v>-0.28316176846574959</v>
      </c>
    </row>
    <row r="10" spans="1:14" x14ac:dyDescent="0.15">
      <c r="A10" s="38" t="s">
        <v>45</v>
      </c>
      <c r="B10" s="45"/>
      <c r="C10" s="17">
        <f>F30-$A$20/3</f>
        <v>1.7208029714154305E-2</v>
      </c>
      <c r="D10" s="28">
        <f>C10*$I$23*$B$7/$B$8</f>
        <v>264.52491515823192</v>
      </c>
      <c r="E10" s="54"/>
      <c r="F10" s="17">
        <f>I10+$J$4-'Ref State'!$D$19+'Ref State'!$D$18</f>
        <v>-8119.7973380333133</v>
      </c>
      <c r="G10" s="17">
        <f>F10-Z*_R*TK</f>
        <v>-8146.2498295491368</v>
      </c>
      <c r="H10" s="17">
        <f>K10+$L$4-'Ref State'!$F$19+'Ref State'!$F$18</f>
        <v>-55.676164486977576</v>
      </c>
      <c r="I10" s="17">
        <f>_R*TK*(Z-1-A/B/2.8284*(1+kappa*SQRT(Tr/alpha))*LN((Z+2.4142*B)/(Z-0.4142*B)))</f>
        <v>-4221.7542938188417</v>
      </c>
      <c r="J10" s="17">
        <f>I10-(Z-1)*_R*TK</f>
        <v>-2710.9888728118303</v>
      </c>
      <c r="K10" s="28">
        <f>_R*LN(Z-B)-A*_R/B/2.8284*kappa*SQRT(Tr/alpha)*LN((Z+2.4142*B)/(Z-0.4142*B))</f>
        <v>-39.414740436073131</v>
      </c>
      <c r="M10" s="95" t="s">
        <v>308</v>
      </c>
      <c r="N10" s="95"/>
    </row>
    <row r="11" spans="1:14" ht="14" thickBot="1" x14ac:dyDescent="0.2">
      <c r="A11" s="7"/>
      <c r="B11" s="8"/>
      <c r="C11" s="30">
        <f>G30-$A$20/3</f>
        <v>2.1316484939740699E-3</v>
      </c>
      <c r="D11" s="8">
        <f>C11*$I$23*$B$7/$B$8</f>
        <v>32.768082481392632</v>
      </c>
      <c r="E11" s="7">
        <f>P*EXP(Z-1-LN(Z-B)-A/B/2.8284*LN((Z+2.4142*B)/(Z-0.4142*B)))</f>
        <v>9.7932623140616321E-2</v>
      </c>
      <c r="F11" s="30">
        <f>I11+$J$4-'Ref State'!$D$19+'Ref State'!$D$18</f>
        <v>-21022.096041678982</v>
      </c>
      <c r="G11" s="30">
        <f>F11-Z*_R*TK</f>
        <v>-21025.37284992712</v>
      </c>
      <c r="H11" s="30">
        <f>K11+$L$4-'Ref State'!$F$19+'Ref State'!$F$18</f>
        <v>-108.70794953557692</v>
      </c>
      <c r="I11" s="30">
        <f>_R*TK*(Z-1-A/B/2.8284*(1+kappa*SQRT(Tr/alpha))*LN((Z+2.4142*B)/(Z-0.4142*B)))</f>
        <v>-17124.052997464511</v>
      </c>
      <c r="J11" s="30">
        <f>I11-(Z-1)*_R*TK</f>
        <v>-15590.111893189815</v>
      </c>
      <c r="K11" s="8">
        <f>_R*LN(Z-B)-A*_R/B/2.8284*kappa*SQRT(Tr/alpha)*LN((Z+2.4142*B)/(Z-0.4142*B))</f>
        <v>-92.446525484672478</v>
      </c>
      <c r="M11" s="95" t="e">
        <f>I12+J4-Props!I12</f>
        <v>#NUM!</v>
      </c>
      <c r="N11" s="95" t="s">
        <v>90</v>
      </c>
    </row>
    <row r="12" spans="1:14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4" x14ac:dyDescent="0.15">
      <c r="A13" s="17"/>
      <c r="B13" s="17"/>
      <c r="E13" s="88" t="s">
        <v>96</v>
      </c>
      <c r="F13" s="17"/>
      <c r="G13" s="17"/>
      <c r="H13" s="17"/>
      <c r="I13" s="17"/>
      <c r="M13" s="95">
        <f>I9+J4-Props!I12</f>
        <v>-3324.9560478352059</v>
      </c>
      <c r="N13" t="s">
        <v>90</v>
      </c>
    </row>
    <row r="14" spans="1:14" x14ac:dyDescent="0.15">
      <c r="C14" s="17"/>
      <c r="D14" s="17"/>
      <c r="E14" s="89">
        <f>E9/E11</f>
        <v>1.000000083742705</v>
      </c>
      <c r="F14" s="17"/>
      <c r="G14" s="17"/>
      <c r="M14">
        <f>0.85*M13</f>
        <v>-2826.212640659925</v>
      </c>
    </row>
    <row r="15" spans="1:14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J15" s="93" t="s">
        <v>61</v>
      </c>
      <c r="K15">
        <v>0.37662247230187251</v>
      </c>
    </row>
    <row r="16" spans="1:14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J16" s="93" t="s">
        <v>90</v>
      </c>
      <c r="K16">
        <f>K15*F11+(1-K15)*F9</f>
        <v>-10400.000000999999</v>
      </c>
      <c r="L16" t="s">
        <v>309</v>
      </c>
    </row>
    <row r="17" spans="1:13" x14ac:dyDescent="0.15">
      <c r="A17" s="60"/>
      <c r="B17" s="60"/>
      <c r="C17" s="87"/>
      <c r="D17" s="17"/>
      <c r="E17" s="17"/>
      <c r="F17" s="17"/>
      <c r="G17" s="17"/>
      <c r="H17" s="17"/>
      <c r="L17">
        <f>CPA+CPB*(TK-TREF)+CPC/3*(TK^3-TREF^3)+CPD/4*(TK^4-TREF^4)</f>
        <v>358.84261153400087</v>
      </c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-1.8572605491365933E-6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-0.99826602797027431</v>
      </c>
      <c r="B20" s="23">
        <f>J28-3*J29^2-2*J29</f>
        <v>1.8968802064482176E-2</v>
      </c>
      <c r="C20" s="23">
        <f>-(J28*J29-J29^2-J29^3)</f>
        <v>-3.5908458142303191E-5</v>
      </c>
      <c r="D20" s="23">
        <f>(3*B20-A20^2)/3</f>
        <v>-0.31320955213536733</v>
      </c>
      <c r="E20" s="23">
        <f>(2*A20^3-9*A20*B20+27*C20)/27</f>
        <v>-6.7413352944006563E-2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 ht="15" x14ac:dyDescent="0.15">
      <c r="G23" s="23" t="s">
        <v>31</v>
      </c>
      <c r="H23" s="11"/>
      <c r="I23" s="90">
        <v>8.3144720000000003</v>
      </c>
      <c r="J23" s="23"/>
      <c r="M23" s="86"/>
    </row>
    <row r="24" spans="1:13" ht="16" x14ac:dyDescent="0.2">
      <c r="A24" t="s">
        <v>64</v>
      </c>
      <c r="G24" s="1" t="s">
        <v>36</v>
      </c>
      <c r="H24" s="16">
        <f>TK/B4</f>
        <v>0.60777320819684155</v>
      </c>
      <c r="I24" s="23" t="s">
        <v>37</v>
      </c>
      <c r="J24" s="23"/>
      <c r="L24" s="17"/>
      <c r="M24" s="86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1.3546464372798701E-2</v>
      </c>
      <c r="I25" s="11">
        <f>0.4572355289*(B4*I23)^2*H27/C4</f>
        <v>530402.18674306385</v>
      </c>
      <c r="J25" s="12"/>
      <c r="L25" s="86"/>
      <c r="M25" s="86"/>
    </row>
    <row r="26" spans="1:13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0.71224375872000001</v>
      </c>
      <c r="I26" s="23" t="s">
        <v>44</v>
      </c>
      <c r="J26" s="23"/>
      <c r="L26" s="86"/>
      <c r="M26" s="86"/>
    </row>
    <row r="27" spans="1:13" x14ac:dyDescent="0.15">
      <c r="G27" s="19" t="s">
        <v>46</v>
      </c>
      <c r="H27" s="21">
        <f>(1+kappa*(1-SQRT(Tr)))^2</f>
        <v>1.3386024260862344</v>
      </c>
      <c r="I27" s="11">
        <f>0.0777960739*I23*B4/C4</f>
        <v>26.654928639078904</v>
      </c>
      <c r="J27" s="12"/>
      <c r="L27" s="86"/>
      <c r="M27" s="86"/>
    </row>
    <row r="28" spans="1:13" x14ac:dyDescent="0.15">
      <c r="A28" t="s">
        <v>70</v>
      </c>
      <c r="I28" s="1" t="s">
        <v>48</v>
      </c>
      <c r="J28" s="16">
        <f>I25*B8/(I23*B7)^2</f>
        <v>2.2445766100933146E-2</v>
      </c>
      <c r="L28" s="86"/>
      <c r="M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1.7339720297256786E-3</v>
      </c>
      <c r="L29" s="86"/>
      <c r="M29" s="86"/>
    </row>
    <row r="30" spans="1:13" x14ac:dyDescent="0.15">
      <c r="A30" s="23">
        <f>2*SQRT(-D20/3)</f>
        <v>0.6462296311532687</v>
      </c>
      <c r="B30" s="23">
        <f>3*E20/D20/A30</f>
        <v>0.99918364527249082</v>
      </c>
      <c r="C30" s="23">
        <f>ACOS(B30)</f>
        <v>4.0409548975514742E-2</v>
      </c>
      <c r="D30" s="23">
        <f>C30/3</f>
        <v>1.3469849658504915E-2</v>
      </c>
      <c r="E30" s="23">
        <f>$A$30*COS($D$30)</f>
        <v>0.64617100710538766</v>
      </c>
      <c r="F30" s="23">
        <f>$A$30*COS($D$30+4*PI()/3)</f>
        <v>-0.3155473129426038</v>
      </c>
      <c r="G30" s="23">
        <f>$A$30*COS($D$30+2*PI()/3)</f>
        <v>-0.33062369416278403</v>
      </c>
      <c r="L30" s="86"/>
      <c r="M30" s="86"/>
    </row>
    <row r="31" spans="1:13" x14ac:dyDescent="0.15">
      <c r="L31" s="86"/>
      <c r="M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0.10100000000000001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3"/>
  <sheetViews>
    <sheetView showGridLines="0" zoomScale="115" zoomScaleNormal="115" zoomScalePageLayoutView="115" workbookViewId="0">
      <selection activeCell="A16" sqref="A16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CARBON DIOXIDE</v>
      </c>
      <c r="B4" s="74">
        <f>Props!B4</f>
        <v>304.2</v>
      </c>
      <c r="C4" s="74">
        <f>Props!C4</f>
        <v>7.3819999999999997</v>
      </c>
      <c r="D4" s="74">
        <f>Props!D4</f>
        <v>0.22800000000000001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0.10100000000000001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>
        <f>C29-A23/3</f>
        <v>0.99445707594860111</v>
      </c>
      <c r="F12" s="32">
        <f>E12*$I$26*$B$7/$B$8</f>
        <v>24395.830524025769</v>
      </c>
      <c r="G12" s="31">
        <f>P*EXP(Z-1-LN(Z-B)-A/B/2.8284*LN((Z+2.414*B)/(Z-0.414*B)))</f>
        <v>0.10044256914900075</v>
      </c>
      <c r="H12" s="35">
        <f>_R*TK*(Z-1-A/B/2.8284*(1+kappa*SQRT(Tr/alpha))*LN((Z+2.4142*B)/(Z-0.4142*B)))</f>
        <v>-41.716285990261568</v>
      </c>
      <c r="I12" s="35">
        <f>H12-(Z-1)*_R*TK</f>
        <v>-27.982512916863744</v>
      </c>
      <c r="J12" s="32">
        <f>_R*LN(Z-B)-A*_R/B/2.8284*kappa*SQRT(Tr/alpha)*LN((Z+2.4142*B)/(Z-0.4142*B))</f>
        <v>-9.3964077965399379E-2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3.8540302711590271E-8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-0.99891345439672852</v>
      </c>
      <c r="B23" s="23">
        <f>J31-3*J32^2-2*J32</f>
        <v>4.4377154783243333E-3</v>
      </c>
      <c r="C23" s="23">
        <f>-(J31*J32-J32^2-J32^3)</f>
        <v>-6.0049271004777854E-6</v>
      </c>
      <c r="D23" s="23">
        <f>(3*B23-A23^2)/3</f>
        <v>-0.32817164764661072</v>
      </c>
      <c r="E23" s="23">
        <f>(2*A23^3-9*A23*B23+27*C23)/27</f>
        <v>-7.2361255446367262E-2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0.97961867192636432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1.3681929016526689E-2</v>
      </c>
      <c r="I28" s="11">
        <f>0.4572355289*(B4*I26)^2*H30/C4</f>
        <v>402038.43469020899</v>
      </c>
      <c r="J28" s="12"/>
    </row>
    <row r="29" spans="1:10" ht="15" x14ac:dyDescent="0.15">
      <c r="A29" s="23">
        <f>(-$E$23/2+SQRT($H$21))^(1/3)</f>
        <v>0.33134117353664111</v>
      </c>
      <c r="B29" s="23">
        <f>(-$E$23/2-SQRT($H$21))^(1/3)</f>
        <v>0.33014475094638379</v>
      </c>
      <c r="C29" s="23">
        <f>A29+B29</f>
        <v>0.6614859244830249</v>
      </c>
      <c r="D29" s="17"/>
      <c r="G29" s="3" t="s">
        <v>43</v>
      </c>
      <c r="H29" s="18">
        <f>0.37464+1.54226*D4-0.26992*D4^2</f>
        <v>0.71224375872000001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1.0146444292789552</v>
      </c>
      <c r="I30" s="11">
        <f>0.0777960739*I26*B4/C4</f>
        <v>26.654928639078904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6.6143484289113144E-3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1.0865456032715074E-3</v>
      </c>
    </row>
    <row r="33" spans="1:7" x14ac:dyDescent="0.15">
      <c r="A33" s="23">
        <f>2*SQRT(-D23/3)</f>
        <v>0.66148484250370221</v>
      </c>
      <c r="B33" s="23">
        <f>3*E23/D23/A33</f>
        <v>1.0000147211765353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06"/>
  <sheetViews>
    <sheetView topLeftCell="A40" workbookViewId="0">
      <selection activeCell="C91" sqref="C91:F91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43"/>
  <sheetViews>
    <sheetView topLeftCell="A83" workbookViewId="0">
      <selection activeCell="D112" sqref="D112:G112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71</vt:i4>
      </vt:variant>
    </vt:vector>
  </HeadingPairs>
  <TitlesOfParts>
    <vt:vector size="79" baseType="lpstr">
      <vt:lpstr>Instructions</vt:lpstr>
      <vt:lpstr>PVT</vt:lpstr>
      <vt:lpstr>Props</vt:lpstr>
      <vt:lpstr>Props (2)</vt:lpstr>
      <vt:lpstr>Ref State</vt:lpstr>
      <vt:lpstr>Crit. Props</vt:lpstr>
      <vt:lpstr>IG Cps</vt:lpstr>
      <vt:lpstr>rev. info</vt:lpstr>
      <vt:lpstr>Props!_a</vt:lpstr>
      <vt:lpstr>'Props (2)'!_a</vt:lpstr>
      <vt:lpstr>_a</vt:lpstr>
      <vt:lpstr>Props!_b</vt:lpstr>
      <vt:lpstr>'Props (2)'!_b</vt:lpstr>
      <vt:lpstr>_b</vt:lpstr>
      <vt:lpstr>_R</vt:lpstr>
      <vt:lpstr>Props!A</vt:lpstr>
      <vt:lpstr>'Props (2)'!A</vt:lpstr>
      <vt:lpstr>PVT!A</vt:lpstr>
      <vt:lpstr>A</vt:lpstr>
      <vt:lpstr>PVT!a_</vt:lpstr>
      <vt:lpstr>PVT!a0_</vt:lpstr>
      <vt:lpstr>PVT!a1_</vt:lpstr>
      <vt:lpstr>PVT!a2_</vt:lpstr>
      <vt:lpstr>Props!alpha</vt:lpstr>
      <vt:lpstr>'Props (2)'!alpha</vt:lpstr>
      <vt:lpstr>PVT!alpha</vt:lpstr>
      <vt:lpstr>alpha</vt:lpstr>
      <vt:lpstr>Props!B</vt:lpstr>
      <vt:lpstr>'Props (2)'!B</vt:lpstr>
      <vt:lpstr>PVT!B</vt:lpstr>
      <vt:lpstr>B</vt:lpstr>
      <vt:lpstr>PVT!b_</vt:lpstr>
      <vt:lpstr>'Props (2)'!CPA</vt:lpstr>
      <vt:lpstr>CPA</vt:lpstr>
      <vt:lpstr>'Props (2)'!CPB</vt:lpstr>
      <vt:lpstr>CPB</vt:lpstr>
      <vt:lpstr>'Props (2)'!CPC</vt:lpstr>
      <vt:lpstr>CPC</vt:lpstr>
      <vt:lpstr>'Props (2)'!CPD</vt:lpstr>
      <vt:lpstr>CPD</vt:lpstr>
      <vt:lpstr>fugratio</vt:lpstr>
      <vt:lpstr>igrflag</vt:lpstr>
      <vt:lpstr>index</vt:lpstr>
      <vt:lpstr>Props!kappa</vt:lpstr>
      <vt:lpstr>'Props (2)'!kappa</vt:lpstr>
      <vt:lpstr>PVT!kappa</vt:lpstr>
      <vt:lpstr>kappa</vt:lpstr>
      <vt:lpstr>PVT!omega</vt:lpstr>
      <vt:lpstr>Props!P</vt:lpstr>
      <vt:lpstr>'Props (2)'!P</vt:lpstr>
      <vt:lpstr>PVT!P</vt:lpstr>
      <vt:lpstr>P</vt:lpstr>
      <vt:lpstr>PVT!Pc</vt:lpstr>
      <vt:lpstr>Props!Pr</vt:lpstr>
      <vt:lpstr>'Props (2)'!Pr</vt:lpstr>
      <vt:lpstr>Pr</vt:lpstr>
      <vt:lpstr>PREF</vt:lpstr>
      <vt:lpstr>Props!q</vt:lpstr>
      <vt:lpstr>'Props (2)'!q</vt:lpstr>
      <vt:lpstr>q</vt:lpstr>
      <vt:lpstr>PVT!R_</vt:lpstr>
      <vt:lpstr>PVT!Rroot</vt:lpstr>
      <vt:lpstr>'Props (2)'!Tc</vt:lpstr>
      <vt:lpstr>PVT!Tc</vt:lpstr>
      <vt:lpstr>Tc</vt:lpstr>
      <vt:lpstr>Props!TK</vt:lpstr>
      <vt:lpstr>'Props (2)'!TK</vt:lpstr>
      <vt:lpstr>PVT!TK</vt:lpstr>
      <vt:lpstr>TK</vt:lpstr>
      <vt:lpstr>Props!Tr</vt:lpstr>
      <vt:lpstr>'Props (2)'!Tr</vt:lpstr>
      <vt:lpstr>PVT!Tr</vt:lpstr>
      <vt:lpstr>Tr</vt:lpstr>
      <vt:lpstr>TREF</vt:lpstr>
      <vt:lpstr>uhflag</vt:lpstr>
      <vt:lpstr>Props!Z</vt:lpstr>
      <vt:lpstr>'Props (2)'!Z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2020-03-11T01:51:07Z</dcterms:modified>
</cp:coreProperties>
</file>