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3120" windowHeight="15540" tabRatio="538" activeTab="3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3" hidden="1">'Props (2)'!$M$20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3" hidden="1">'Props (2)'!$B$7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Props!$F$12</definedName>
    <definedName name="solver_opt" localSheetId="3" hidden="1">'Props (2)'!$M$22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el1" localSheetId="1" hidden="1">1</definedName>
    <definedName name="solver_rhs1" localSheetId="3" hidden="1">279</definedName>
    <definedName name="solver_rhs1" localSheetId="1" hidden="1">PVT!$B$4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-657.5523143</definedName>
    <definedName name="solver_val" localSheetId="3" hidden="1">0</definedName>
    <definedName name="solver_val" localSheetId="1" hidden="1">1</definedName>
    <definedName name="solver_ver" localSheetId="2" hidden="1">2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8" l="1"/>
  <c r="I27" i="8"/>
  <c r="J29" i="8"/>
  <c r="A20" i="8"/>
  <c r="H24" i="8"/>
  <c r="H26" i="8"/>
  <c r="H27" i="8"/>
  <c r="I25" i="8"/>
  <c r="J28" i="8"/>
  <c r="B20" i="8"/>
  <c r="C20" i="8"/>
  <c r="E20" i="8"/>
  <c r="D20" i="8"/>
  <c r="H18" i="8"/>
  <c r="A26" i="8"/>
  <c r="B26" i="8"/>
  <c r="C26" i="8"/>
  <c r="C12" i="8"/>
  <c r="I12" i="8"/>
  <c r="J4" i="8"/>
  <c r="I27" i="3"/>
  <c r="J29" i="3"/>
  <c r="A20" i="3"/>
  <c r="H26" i="3"/>
  <c r="H24" i="3"/>
  <c r="H27" i="3"/>
  <c r="I25" i="3"/>
  <c r="J28" i="3"/>
  <c r="B20" i="3"/>
  <c r="C20" i="3"/>
  <c r="E20" i="3"/>
  <c r="D20" i="3"/>
  <c r="H18" i="3"/>
  <c r="A26" i="3"/>
  <c r="B26" i="3"/>
  <c r="C26" i="3"/>
  <c r="C12" i="3"/>
  <c r="I12" i="3"/>
  <c r="M11" i="8"/>
  <c r="A30" i="8"/>
  <c r="B30" i="8"/>
  <c r="C30" i="8"/>
  <c r="D30" i="8"/>
  <c r="E30" i="8"/>
  <c r="C9" i="8"/>
  <c r="I9" i="8"/>
  <c r="A30" i="3"/>
  <c r="B30" i="3"/>
  <c r="C30" i="3"/>
  <c r="D30" i="3"/>
  <c r="G30" i="3"/>
  <c r="C11" i="3"/>
  <c r="I11" i="3"/>
  <c r="E30" i="3"/>
  <c r="C9" i="3"/>
  <c r="I9" i="3"/>
  <c r="M10" i="3"/>
  <c r="M13" i="8"/>
  <c r="M14" i="8"/>
  <c r="K9" i="8"/>
  <c r="L4" i="8"/>
  <c r="K12" i="3"/>
  <c r="K12" i="8"/>
  <c r="L17" i="8"/>
  <c r="G30" i="8"/>
  <c r="C11" i="8"/>
  <c r="K11" i="8"/>
  <c r="B35" i="8"/>
  <c r="D34" i="8"/>
  <c r="B34" i="8"/>
  <c r="D33" i="8"/>
  <c r="B33" i="8"/>
  <c r="F30" i="8"/>
  <c r="H25" i="8"/>
  <c r="E9" i="8"/>
  <c r="E11" i="8"/>
  <c r="E14" i="8"/>
  <c r="J12" i="8"/>
  <c r="B4" i="4"/>
  <c r="H27" i="4"/>
  <c r="D4" i="4"/>
  <c r="H29" i="4"/>
  <c r="H30" i="4"/>
  <c r="C4" i="4"/>
  <c r="I28" i="4"/>
  <c r="J31" i="4"/>
  <c r="I30" i="4"/>
  <c r="J32" i="4"/>
  <c r="B23" i="4"/>
  <c r="C23" i="4"/>
  <c r="A23" i="4"/>
  <c r="E23" i="4"/>
  <c r="D23" i="4"/>
  <c r="H21" i="4"/>
  <c r="A29" i="4"/>
  <c r="B29" i="4"/>
  <c r="C29" i="4"/>
  <c r="E12" i="4"/>
  <c r="J12" i="4"/>
  <c r="A33" i="4"/>
  <c r="B33" i="4"/>
  <c r="C33" i="4"/>
  <c r="D33" i="4"/>
  <c r="G33" i="4"/>
  <c r="E11" i="4"/>
  <c r="J11" i="4"/>
  <c r="F19" i="4"/>
  <c r="H12" i="8"/>
  <c r="H12" i="4"/>
  <c r="H11" i="4"/>
  <c r="D19" i="4"/>
  <c r="C18" i="4"/>
  <c r="D18" i="4"/>
  <c r="F12" i="8"/>
  <c r="G12" i="8"/>
  <c r="E12" i="8"/>
  <c r="D12" i="8"/>
  <c r="I11" i="8"/>
  <c r="J11" i="8"/>
  <c r="H11" i="8"/>
  <c r="F11" i="8"/>
  <c r="G11" i="8"/>
  <c r="D11" i="8"/>
  <c r="C10" i="8"/>
  <c r="K10" i="8"/>
  <c r="I10" i="8"/>
  <c r="J10" i="8"/>
  <c r="H10" i="8"/>
  <c r="F10" i="8"/>
  <c r="G10" i="8"/>
  <c r="D10" i="8"/>
  <c r="J9" i="8"/>
  <c r="H9" i="8"/>
  <c r="F9" i="8"/>
  <c r="G9" i="8"/>
  <c r="D9" i="8"/>
  <c r="K4" i="8"/>
  <c r="I10" i="2"/>
  <c r="J12" i="2"/>
  <c r="A18" i="2"/>
  <c r="H9" i="2"/>
  <c r="H7" i="2"/>
  <c r="H10" i="2"/>
  <c r="H8" i="2"/>
  <c r="D59" i="6"/>
  <c r="J4" i="3"/>
  <c r="I26" i="4"/>
  <c r="D34" i="3"/>
  <c r="D33" i="3"/>
  <c r="B35" i="3"/>
  <c r="B34" i="3"/>
  <c r="B33" i="3"/>
  <c r="H25" i="3"/>
  <c r="A4" i="4"/>
  <c r="H28" i="4"/>
  <c r="K4" i="3"/>
  <c r="I8" i="2"/>
  <c r="J11" i="2"/>
  <c r="L4" i="3"/>
  <c r="C18" i="2"/>
  <c r="B18" i="2"/>
  <c r="E11" i="3"/>
  <c r="D11" i="3"/>
  <c r="K11" i="3"/>
  <c r="F30" i="3"/>
  <c r="C10" i="3"/>
  <c r="E12" i="3"/>
  <c r="D12" i="3"/>
  <c r="D18" i="2"/>
  <c r="A26" i="2"/>
  <c r="E18" i="2"/>
  <c r="E33" i="4"/>
  <c r="E9" i="4"/>
  <c r="F33" i="4"/>
  <c r="E10" i="4"/>
  <c r="F10" i="4"/>
  <c r="G11" i="4"/>
  <c r="F11" i="4"/>
  <c r="I11" i="4"/>
  <c r="H16" i="2"/>
  <c r="B22" i="2"/>
  <c r="B26" i="2"/>
  <c r="C26" i="2"/>
  <c r="D26" i="2"/>
  <c r="E26" i="2"/>
  <c r="C9" i="2"/>
  <c r="A22" i="2"/>
  <c r="C22" i="2"/>
  <c r="C12" i="2"/>
  <c r="J9" i="4"/>
  <c r="H11" i="3"/>
  <c r="J11" i="3"/>
  <c r="J12" i="3"/>
  <c r="D10" i="3"/>
  <c r="K10" i="3"/>
  <c r="H10" i="3"/>
  <c r="I10" i="3"/>
  <c r="G9" i="4"/>
  <c r="F9" i="4"/>
  <c r="H12" i="3"/>
  <c r="H9" i="4"/>
  <c r="D9" i="3"/>
  <c r="E9" i="3"/>
  <c r="E14" i="3"/>
  <c r="K9" i="3"/>
  <c r="H9" i="3"/>
  <c r="D9" i="2"/>
  <c r="E9" i="2"/>
  <c r="I9" i="4"/>
  <c r="I12" i="4"/>
  <c r="E19" i="4"/>
  <c r="F26" i="2"/>
  <c r="C10" i="2"/>
  <c r="D10" i="2"/>
  <c r="D12" i="2"/>
  <c r="E12" i="2"/>
  <c r="G26" i="2"/>
  <c r="C11" i="2"/>
  <c r="E18" i="4"/>
  <c r="F12" i="4"/>
  <c r="G12" i="4"/>
  <c r="F9" i="3"/>
  <c r="G9" i="3"/>
  <c r="J9" i="3"/>
  <c r="J10" i="3"/>
  <c r="F12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<sst xmlns="http://schemas.openxmlformats.org/spreadsheetml/2006/main" count="592" uniqueCount="312">
  <si>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</si>
  <si>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</si>
  <si>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</si>
  <si>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</si>
  <si>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</si>
  <si>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</si>
  <si>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</si>
  <si>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</si>
  <si>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</si>
  <si>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</si>
  <si>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</si>
  <si>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</si>
  <si>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</si>
  <si>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</si>
  <si>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</si>
  <si>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</si>
  <si>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</si>
  <si>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</si>
  <si>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</si>
  <si>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</si>
  <si>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</si>
  <si>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</si>
  <si>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</si>
  <si>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</si>
  <si>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</si>
  <si>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</si>
  <si>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</si>
  <si>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</si>
  <si>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</si>
  <si>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</si>
  <si>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</si>
  <si>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</si>
  <si>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</si>
  <si>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</si>
  <si>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</si>
  <si>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</si>
  <si>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</si>
  <si>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</si>
  <si>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</si>
  <si>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</si>
  <si>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</si>
  <si>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</si>
  <si>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</si>
  <si>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</si>
  <si>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</si>
  <si>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</si>
  <si>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</si>
  <si>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</si>
  <si>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</si>
  <si>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</si>
  <si>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</si>
  <si>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</si>
  <si>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</si>
  <si>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</si>
  <si>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</si>
  <si>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</si>
  <si>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</si>
  <si>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</si>
  <si>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</si>
  <si>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</si>
  <si>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</si>
  <si>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</si>
  <si>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</si>
  <si>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</si>
  <si>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</si>
  <si>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</si>
  <si>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</si>
  <si>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</si>
  <si>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</si>
  <si>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</si>
  <si>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</si>
  <si>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</si>
  <si>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</si>
  <si>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</si>
  <si>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</si>
  <si>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</si>
  <si>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</si>
  <si>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</si>
  <si>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</si>
  <si>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</si>
  <si>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</si>
  <si>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</si>
  <si>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</si>
  <si>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</si>
  <si>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</si>
  <si>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</si>
  <si>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</si>
  <si>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</si>
  <si>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</si>
  <si>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</si>
  <si>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</si>
  <si>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</si>
  <si>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</si>
  <si>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</si>
  <si>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</si>
  <si>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</si>
  <si>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</si>
  <si>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</si>
  <si>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</si>
  <si>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</si>
  <si>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</si>
  <si>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</si>
  <si>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</si>
  <si>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</si>
  <si>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</si>
  <si>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</si>
  <si>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</si>
  <si>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</si>
  <si>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</si>
  <si>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</si>
  <si>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</si>
  <si>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</si>
  <si>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</si>
  <si>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</si>
  <si>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</si>
  <si>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</si>
  <si>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</si>
  <si>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</si>
  <si>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</si>
  <si>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</si>
  <si>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</si>
  <si>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</si>
  <si>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</si>
  <si>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</si>
  <si>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</si>
  <si>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</si>
  <si>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</si>
  <si>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</si>
  <si>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</si>
  <si>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</si>
  <si>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</si>
  <si>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</si>
  <si>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</si>
  <si>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</si>
  <si>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</si>
  <si>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</si>
  <si>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</si>
  <si>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</si>
  <si>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</si>
  <si>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</si>
  <si>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</si>
  <si>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</si>
  <si>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</si>
  <si>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</si>
  <si>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</si>
  <si>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</si>
  <si>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</si>
  <si>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</si>
  <si>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</si>
  <si>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</si>
  <si>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</si>
  <si>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</si>
  <si>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</si>
  <si>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</si>
  <si>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</si>
  <si>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</si>
  <si>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</si>
  <si>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</si>
  <si>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</si>
  <si>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</si>
  <si>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</si>
  <si>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</si>
  <si>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</si>
  <si>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</si>
  <si>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</si>
  <si>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</si>
  <si>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</si>
  <si>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</si>
  <si>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</si>
  <si>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</si>
  <si>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</si>
  <si>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</si>
  <si>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</si>
  <si>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</si>
  <si>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</si>
  <si>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</si>
  <si>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</si>
  <si>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</si>
  <si>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</si>
  <si>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</si>
  <si>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</si>
  <si>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</si>
  <si>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</si>
  <si>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</si>
  <si>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</si>
  <si>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</si>
  <si>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</si>
  <si>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</si>
  <si>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</si>
  <si>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</si>
  <si>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</si>
  <si>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</si>
  <si>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</si>
  <si>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</si>
  <si>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</si>
  <si>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</si>
  <si>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</si>
  <si>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</si>
  <si>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</si>
  <si>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</si>
  <si>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</si>
  <si>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</si>
  <si>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</si>
  <si>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</si>
  <si>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</si>
  <si>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</si>
  <si>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</si>
  <si>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</si>
  <si>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</si>
  <si>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</si>
  <si>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</si>
  <si>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</si>
  <si>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</si>
  <si>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</si>
  <si>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</si>
  <si>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</si>
  <si>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</si>
  <si>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</si>
  <si>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</si>
  <si>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</si>
  <si>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</si>
  <si>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</si>
  <si>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</si>
  <si>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</si>
  <si>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</si>
  <si>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</si>
  <si>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</si>
  <si>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</si>
  <si>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</si>
  <si>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</si>
  <si>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</si>
  <si>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</si>
  <si>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</si>
  <si>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</si>
  <si>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</si>
  <si>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</si>
  <si>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</si>
  <si>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</si>
  <si>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</si>
  <si>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</si>
  <si>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</si>
  <si>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</si>
  <si>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</si>
  <si>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</si>
  <si>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</si>
  <si>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</si>
  <si>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</si>
  <si>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</si>
  <si>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</si>
  <si>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</si>
  <si>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</si>
  <si>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</si>
  <si>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</si>
  <si>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</si>
  <si>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</si>
  <si>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</si>
  <si>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</si>
  <si>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</si>
  <si>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</si>
  <si>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</si>
  <si>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</si>
  <si>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</si>
  <si>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</si>
  <si>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</si>
  <si>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</si>
  <si>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</si>
  <si>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</si>
  <si>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</si>
  <si>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</si>
  <si>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</si>
  <si>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</si>
  <si>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</si>
  <si>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</si>
  <si>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</si>
  <si>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</si>
  <si>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</si>
  <si>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</si>
  <si>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</si>
  <si>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</si>
  <si>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</si>
  <si>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</si>
  <si>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</si>
  <si>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</si>
  <si>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</si>
  <si>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</si>
  <si>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</si>
  <si>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</si>
  <si>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</si>
  <si>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</si>
  <si>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</si>
  <si>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</si>
  <si>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</si>
  <si>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</si>
  <si>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</si>
  <si>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</si>
  <si>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</si>
  <si>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</si>
  <si>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</si>
  <si>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</si>
  <si>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</si>
  <si>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</si>
  <si>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</si>
  <si>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</si>
  <si>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</si>
  <si>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</si>
  <si>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</si>
  <si>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</si>
  <si>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</si>
  <si>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</si>
  <si>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</si>
  <si>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</si>
  <si>
    <t>DH=0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</si>
</sst>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zoomScale="130" zoomScaleNormal="130" zoomScalePageLayoutView="130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>
      <c r="A1" t="s">
        <v>20</v>
      </c>
      <c r="F1" t="s">
        <v>21</v>
      </c>
    </row>
    <row r="2" spans="1:13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>
      <c r="A4" t="s">
        <v>214</v>
      </c>
      <c r="B4">
        <v>132.9</v>
      </c>
      <c r="C4">
        <v>3.4990000000000001</v>
      </c>
      <c r="D4">
        <v>6.6000000000000003E-2</v>
      </c>
      <c r="E4" s="91">
        <v>30.87</v>
      </c>
      <c r="F4" s="91">
        <v>-1.285E-2</v>
      </c>
      <c r="G4" s="91">
        <v>2.7889999999999999E-5</v>
      </c>
      <c r="H4" s="91">
        <v>-1.2720000000000001E-8</v>
      </c>
      <c r="I4" s="20"/>
      <c r="J4" s="4">
        <f>CPA*(TK-TREF)+CPB/2*(TK^2-TREF^2)+CPC/3*(TK^3-TREF^3)+CPD/4*(TK^4-TREF^4)</f>
        <v>-4333.9356603037868</v>
      </c>
      <c r="K4" s="20">
        <f>J4-_R*(TK-TREF)</f>
        <v>-3103.393804303787</v>
      </c>
      <c r="L4" s="21">
        <f>CPA*LN(TK/TREF)+CPB*(TK-TREF)+CPC/2*(TK^2-TREF^2)+CPD/3*(TK^3-TREF^3)-_R*LN(P/PREF)</f>
        <v>-67.457085981940708</v>
      </c>
    </row>
    <row r="5" spans="1:13" ht="13" thickBot="1"/>
    <row r="6" spans="1:13" ht="13" thickBot="1">
      <c r="A6" s="9" t="s">
        <v>29</v>
      </c>
      <c r="B6" s="10"/>
      <c r="C6" s="31" t="s">
        <v>30</v>
      </c>
      <c r="D6" s="32"/>
      <c r="E6" t="s">
        <v>51</v>
      </c>
    </row>
    <row r="7" spans="1:13" ht="13" thickTop="1">
      <c r="A7" s="5" t="s">
        <v>32</v>
      </c>
      <c r="B7" s="48">
        <v>150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3" thickBot="1">
      <c r="A8" s="7" t="s">
        <v>38</v>
      </c>
      <c r="B8" s="49">
        <v>30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t="s">
        <v>310</v>
      </c>
    </row>
    <row r="10" spans="1:13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I11-I9</f>
        <v>#NUM!</v>
      </c>
    </row>
    <row r="11" spans="1:13" ht="13" thickBot="1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3" ht="13" thickBot="1">
      <c r="A12" s="40" t="s">
        <v>49</v>
      </c>
      <c r="B12" s="55"/>
      <c r="C12" s="35">
        <f>C26-A20/3</f>
        <v>0.96293457017070738</v>
      </c>
      <c r="D12" s="32">
        <f>C12*$I$23*$B$7/$B$8</f>
        <v>40.031462607581915</v>
      </c>
      <c r="E12" s="31">
        <f>P*EXP(Z-1-LN(Z-B)-A/B/2.8284*LN((Z+2.4142*B)/(Z-0.4142*B)))</f>
        <v>9.6697568898609756</v>
      </c>
      <c r="F12" s="35">
        <f>I12+$J$4-'Ref State'!$D$19+'Ref State'!$D$18</f>
        <v>-8331.8465650519083</v>
      </c>
      <c r="G12" s="35">
        <f>F12-Z*_R*TK</f>
        <v>-9532.7904432793657</v>
      </c>
      <c r="H12" s="35">
        <f>K12+$L$4-'Ref State'!$F$19+'Ref State'!$F$18</f>
        <v>-84.69622826297649</v>
      </c>
      <c r="I12" s="35">
        <f>_R*TK*(Z-1-A/B/2.8284*(1+kappa*SQRT(Tr/alpha))*LN((Z+2.4142*B)/(Z-0.4142*B)))</f>
        <v>-3997.910904748122</v>
      </c>
      <c r="J12" s="35">
        <f>I12-(Z-1)*_R*TK</f>
        <v>-3951.6839829755791</v>
      </c>
      <c r="K12" s="32">
        <f>_R*LN(Z-B)-A*_R/B/2.8284*kappa*SQRT(Tr/alpha)*LN((Z+2.4142*B)/(Z-0.4142*B))</f>
        <v>-17.239142281035789</v>
      </c>
    </row>
    <row r="13" spans="1:13">
      <c r="A13" s="17"/>
      <c r="B13" s="17"/>
      <c r="E13" s="88" t="s">
        <v>96</v>
      </c>
      <c r="F13" s="17"/>
      <c r="G13" s="17"/>
      <c r="H13" s="17"/>
      <c r="I13" s="17"/>
    </row>
    <row r="14" spans="1:13">
      <c r="C14" s="17"/>
      <c r="D14" s="17"/>
      <c r="E14" s="89" t="e">
        <f>E9/E11</f>
        <v>#NUM!</v>
      </c>
      <c r="F14" s="17"/>
      <c r="G14" s="17"/>
    </row>
    <row r="15" spans="1:13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7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0.29513526114964517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-0.40902553750728776</v>
      </c>
      <c r="B20" s="23">
        <f>J28-3*J29^2-2*J29</f>
        <v>0.66791887153762208</v>
      </c>
      <c r="C20" s="23">
        <f>-(J28*J29-J29^2-J29^3)</f>
        <v>-1.1567704371302785</v>
      </c>
      <c r="D20" s="23">
        <f>(3*B20-A20^2)/3</f>
        <v>0.61215157475991366</v>
      </c>
      <c r="E20" s="23">
        <f>(2*A20^3-9*A20*B20+27*C20)/27</f>
        <v>-1.0707740894362618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1.1286681715575619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8.5738782509288374</v>
      </c>
      <c r="I25" s="11">
        <f>0.4572355289*(B4*I23)^2*H27/C4</f>
        <v>150235.33181767011</v>
      </c>
      <c r="J25" s="12"/>
      <c r="L25" s="86"/>
      <c r="M25" s="86"/>
    </row>
    <row r="26" spans="1:13" ht="14">
      <c r="A26" s="23">
        <f>(-$E$20/2+SQRT($H$18))^(1/3)</f>
        <v>1.0255580773684452</v>
      </c>
      <c r="B26" s="23">
        <f>(-$E$20/2-SQRT($H$18))^(1/3)</f>
        <v>-0.19896535303350038</v>
      </c>
      <c r="C26" s="23">
        <f>A26+B26</f>
        <v>0.8265927243349448</v>
      </c>
      <c r="D26" s="17"/>
      <c r="G26" s="3" t="s">
        <v>43</v>
      </c>
      <c r="H26" s="18">
        <f>0.37464+1.54226*D4-0.26992*D4^2</f>
        <v>0.47525338847999998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0.94157895162263383</v>
      </c>
      <c r="I27" s="11">
        <f>0.0777960739*I23*B4/C4</f>
        <v>24.568203105553533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2.897620242478697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0.59097446249271224</v>
      </c>
      <c r="L29" s="86"/>
      <c r="M29" s="86"/>
    </row>
    <row r="30" spans="1:13">
      <c r="A30" s="23" t="e">
        <f>2*SQRT(-D20/3)</f>
        <v>#NUM!</v>
      </c>
      <c r="B30" s="23" t="e">
        <f>3*E20/D20/A30</f>
        <v>#NUM!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0.10100000000000001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showGridLines="0" tabSelected="1" zoomScale="130" zoomScaleNormal="130" zoomScalePageLayoutView="130" workbookViewId="0">
      <selection activeCell="M23" sqref="M2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>
      <c r="A1" t="s">
        <v>20</v>
      </c>
      <c r="F1" t="s">
        <v>21</v>
      </c>
    </row>
    <row r="2" spans="1:14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>
      <c r="A4" t="s">
        <v>214</v>
      </c>
      <c r="B4">
        <v>132.9</v>
      </c>
      <c r="C4">
        <v>3.4990000000000001</v>
      </c>
      <c r="D4">
        <v>6.6000000000000003E-2</v>
      </c>
      <c r="E4" s="91">
        <v>30.87</v>
      </c>
      <c r="F4" s="91">
        <v>-1.285E-2</v>
      </c>
      <c r="G4" s="91">
        <v>2.7889999999999999E-5</v>
      </c>
      <c r="H4" s="91">
        <v>-1.2720000000000001E-8</v>
      </c>
      <c r="I4" s="20"/>
      <c r="J4" s="4">
        <f>CPA*(TK-TREF)+CPB/2*(TK^2-TREF^2)+CPC/3*(TK^3-TREF^3)+CPD/4*(TK^4-TREF^4)</f>
        <v>-6358.9068516088309</v>
      </c>
      <c r="K4" s="20">
        <f>J4-_R*(TK-TREF)</f>
        <v>-4562.3190808679792</v>
      </c>
      <c r="L4" s="21">
        <f>CPA*LN(TK/TREF)+CPB*(TK-TREF)+CPC/2*(TK^2-TREF^2)+CPD/3*(TK^3-TREF^3)-_R*LN(P/PREF)</f>
        <v>-38.039391541326324</v>
      </c>
    </row>
    <row r="5" spans="1:14" ht="13" thickBot="1"/>
    <row r="6" spans="1:14" ht="13" thickBot="1">
      <c r="A6" s="9" t="s">
        <v>29</v>
      </c>
      <c r="B6" s="10"/>
      <c r="C6" s="31" t="s">
        <v>30</v>
      </c>
      <c r="D6" s="32"/>
      <c r="E6" t="s">
        <v>51</v>
      </c>
    </row>
    <row r="7" spans="1:14" ht="13" thickTop="1">
      <c r="A7" s="5" t="s">
        <v>32</v>
      </c>
      <c r="B7" s="48">
        <v>81.920401591243305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3" thickBot="1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>
      <c r="A9" s="36" t="s">
        <v>42</v>
      </c>
      <c r="B9" s="44"/>
      <c r="C9" s="29">
        <f>E30-$A$20/3</f>
        <v>0.96060368966453891</v>
      </c>
      <c r="D9" s="6">
        <f>C9*$I$23*$B$7/$B$8</f>
        <v>6542.9107790227317</v>
      </c>
      <c r="E9" s="5">
        <f>P*EXP(Z-1-LN(Z-B)-A/B/2.8284*LN((Z+2.4142*B)/(Z-0.4142*B)))</f>
        <v>9.6197421528120747E-2</v>
      </c>
      <c r="F9" s="29">
        <f>I9+$J$4-'Ref State'!$D$19+'Ref State'!$D$18</f>
        <v>-6425.242561469614</v>
      </c>
      <c r="G9" s="29">
        <f>F9-Z*_R*TK</f>
        <v>-7079.5336393718871</v>
      </c>
      <c r="H9" s="29">
        <f>K9+$L$4-'Ref State'!$F$19+'Ref State'!$F$18</f>
        <v>-38.526817264876314</v>
      </c>
      <c r="I9" s="29">
        <f>_R*TK*(Z-1-A/B/2.8284*(1+kappa*SQRT(Tr/alpha))*LN((Z+2.4142*B)/(Z-0.4142*B)))</f>
        <v>-66.335709860783197</v>
      </c>
      <c r="J9" s="29">
        <f>I9-(Z-1)*_R*TK</f>
        <v>-39.501902503908482</v>
      </c>
      <c r="K9" s="6">
        <f>_R*LN(Z-B)-A*_R/B/2.8284*kappa*SQRT(Tr/alpha)*LN((Z+2.4142*B)/(Z-0.4142*B))</f>
        <v>-0.4874257235499862</v>
      </c>
    </row>
    <row r="10" spans="1:14">
      <c r="A10" s="38" t="s">
        <v>45</v>
      </c>
      <c r="B10" s="45"/>
      <c r="C10" s="17">
        <f>F30-$A$20/3</f>
        <v>3.11967838294403E-2</v>
      </c>
      <c r="D10" s="28">
        <f>C10*$I$23*$B$7/$B$8</f>
        <v>212.48905806281968</v>
      </c>
      <c r="E10" s="54"/>
      <c r="F10" s="17">
        <f>I10+$J$4-'Ref State'!$D$19+'Ref State'!$D$18</f>
        <v>-8121.0794391249028</v>
      </c>
      <c r="G10" s="17">
        <f>F10-Z*_R*TK</f>
        <v>-8142.3283449311848</v>
      </c>
      <c r="H10" s="17">
        <f>K10+$L$4-'Ref State'!$F$19+'Ref State'!$F$18</f>
        <v>-71.294209258881139</v>
      </c>
      <c r="I10" s="17">
        <f>_R*TK*(Z-1-A/B/2.8284*(1+kappa*SQRT(Tr/alpha))*LN((Z+2.4142*B)/(Z-0.4142*B)))</f>
        <v>-1762.1725875160716</v>
      </c>
      <c r="J10" s="17">
        <f>I10-(Z-1)*_R*TK</f>
        <v>-1102.2966080632057</v>
      </c>
      <c r="K10" s="28">
        <f>_R*LN(Z-B)-A*_R/B/2.8284*kappa*SQRT(Tr/alpha)*LN((Z+2.4142*B)/(Z-0.4142*B))</f>
        <v>-33.254817717554815</v>
      </c>
      <c r="M10" s="95" t="s">
        <v>308</v>
      </c>
      <c r="N10" s="95"/>
    </row>
    <row r="11" spans="1:14" ht="13" thickBot="1">
      <c r="A11" s="7"/>
      <c r="B11" s="8"/>
      <c r="C11" s="30">
        <f>G30-$A$20/3</f>
        <v>4.5925223226089829E-3</v>
      </c>
      <c r="D11" s="8">
        <f>C11*$I$23*$B$7/$B$8</f>
        <v>31.280812400371182</v>
      </c>
      <c r="E11" s="7">
        <f>P*EXP(Z-1-LN(Z-B)-A/B/2.8284*LN((Z+2.4142*B)/(Z-0.4142*B)))</f>
        <v>9.6197439632240908E-2</v>
      </c>
      <c r="F11" s="30">
        <f>I11+$J$4-'Ref State'!$D$19+'Ref State'!$D$18</f>
        <v>-12475.969339402207</v>
      </c>
      <c r="G11" s="30">
        <f>F11-Z*_R*TK</f>
        <v>-12479.097420642243</v>
      </c>
      <c r="H11" s="30">
        <f>K11+$L$4-'Ref State'!$F$19+'Ref State'!$F$18</f>
        <v>-112.38786760871888</v>
      </c>
      <c r="I11" s="30">
        <f>_R*TK*(Z-1-A/B/2.8284*(1+kappa*SQRT(Tr/alpha))*LN((Z+2.4142*B)/(Z-0.4142*B)))</f>
        <v>-6117.0624877933769</v>
      </c>
      <c r="J11" s="30">
        <f>I11-(Z-1)*_R*TK</f>
        <v>-5439.0656837742663</v>
      </c>
      <c r="K11" s="8">
        <f>_R*LN(Z-B)-A*_R/B/2.8284*kappa*SQRT(Tr/alpha)*LN((Z+2.4142*B)/(Z-0.4142*B))</f>
        <v>-74.348476067392554</v>
      </c>
      <c r="M11" s="95" t="e">
        <f>I12+J4-Props!I12</f>
        <v>#NUM!</v>
      </c>
      <c r="N11" s="95" t="s">
        <v>90</v>
      </c>
    </row>
    <row r="12" spans="1:14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4">
      <c r="A13" s="17"/>
      <c r="B13" s="17"/>
      <c r="E13" s="88" t="s">
        <v>96</v>
      </c>
      <c r="F13" s="17"/>
      <c r="G13" s="17"/>
      <c r="H13" s="17"/>
      <c r="I13" s="17"/>
      <c r="M13" s="95">
        <f>I9+J4-Props!I12</f>
        <v>-2427.331656721492</v>
      </c>
      <c r="N13" t="s">
        <v>90</v>
      </c>
    </row>
    <row r="14" spans="1:14">
      <c r="C14" s="17"/>
      <c r="D14" s="17"/>
      <c r="E14" s="89">
        <f>E9/E11</f>
        <v>0.99999981180247388</v>
      </c>
      <c r="F14" s="17"/>
      <c r="G14" s="17"/>
      <c r="M14">
        <f>0.85*M13</f>
        <v>-2063.2319082132681</v>
      </c>
    </row>
    <row r="15" spans="1:14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4">
      <c r="A16" s="83" t="s">
        <v>98</v>
      </c>
      <c r="B16" s="20"/>
      <c r="C16" s="20"/>
      <c r="D16" s="20"/>
      <c r="E16" s="20"/>
      <c r="F16" s="20"/>
      <c r="G16" s="20"/>
      <c r="H16" s="21"/>
      <c r="L16" t="s">
        <v>309</v>
      </c>
    </row>
    <row r="17" spans="1:13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-182.33085802606661</v>
      </c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-5.1738803569872059E-6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-0.99639299581658858</v>
      </c>
      <c r="B20" s="23">
        <f>J28-3*J29^2-2*J29</f>
        <v>3.4522611466322947E-2</v>
      </c>
      <c r="C20" s="23">
        <f>-(J28*J29-J29^2-J29^3)</f>
        <v>-1.3762754086611514E-4</v>
      </c>
      <c r="D20" s="23">
        <f>(3*B20-A20^2)/3</f>
        <v>-0.29641038923779578</v>
      </c>
      <c r="E20" s="23">
        <f>(2*A20^3-9*A20*B20+27*C20)/27</f>
        <v>-6.1947003450341147E-2</v>
      </c>
      <c r="F20" s="4" t="s">
        <v>63</v>
      </c>
      <c r="G20" s="20"/>
      <c r="H20" s="20"/>
      <c r="I20" s="21"/>
      <c r="L20" s="86" t="s">
        <v>61</v>
      </c>
      <c r="M20" s="86">
        <v>0.68489669529686781</v>
      </c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 t="s">
        <v>311</v>
      </c>
      <c r="M22" s="86">
        <f>M20*F9+(1-M20)*F11-Props!F12</f>
        <v>0</v>
      </c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0.61640633251499855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2.857959416976279E-2</v>
      </c>
      <c r="I25" s="11">
        <f>0.4572355289*(B4*I23)^2*H27/C4</f>
        <v>193810.24236543747</v>
      </c>
      <c r="J25" s="12"/>
      <c r="L25" s="86"/>
      <c r="M25" s="86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0.47525338847999998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1.2146786152917037</v>
      </c>
      <c r="I27" s="11">
        <f>0.0777960739*I23*B4/C4</f>
        <v>24.568203105553533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4.1775651270683181E-2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3.6070041834113959E-3</v>
      </c>
      <c r="L29" s="86"/>
      <c r="M29" s="86"/>
    </row>
    <row r="30" spans="1:13">
      <c r="A30" s="23">
        <f>2*SQRT(-D20/3)</f>
        <v>0.62866036324637253</v>
      </c>
      <c r="B30" s="23">
        <f>3*E20/D20/A30</f>
        <v>0.99731432495357597</v>
      </c>
      <c r="C30" s="23">
        <f>ACOS(B30)</f>
        <v>7.3305907672715387E-2</v>
      </c>
      <c r="D30" s="23">
        <f>C30/3</f>
        <v>2.4435302557571797E-2</v>
      </c>
      <c r="E30" s="23">
        <f>$A$30*COS($D$30)</f>
        <v>0.62847269105900938</v>
      </c>
      <c r="F30" s="23">
        <f>$A$30*COS($D$30+4*PI()/3)</f>
        <v>-0.30093421477608923</v>
      </c>
      <c r="G30" s="23">
        <f>$A$30*COS($D$30+2*PI()/3)</f>
        <v>-0.32753847628292054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0.10100000000000001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A16" sqref="A16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CARBON MONOXIDE</v>
      </c>
      <c r="B4" s="74">
        <f>Props!B4</f>
        <v>132.9</v>
      </c>
      <c r="C4" s="74">
        <f>Props!C4</f>
        <v>3.4990000000000001</v>
      </c>
      <c r="D4" s="74">
        <f>Props!D4</f>
        <v>6.6000000000000003E-2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0.10100000000000001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3" thickBot="1">
      <c r="A12" s="75">
        <v>0</v>
      </c>
      <c r="B12" s="43"/>
      <c r="C12" s="57">
        <v>3</v>
      </c>
      <c r="D12" s="43"/>
      <c r="E12" s="35">
        <f>C29-A23/3</f>
        <v>0.99947466967926402</v>
      </c>
      <c r="F12" s="32">
        <f>E12*$I$26*$B$7/$B$8</f>
        <v>24518.921172432991</v>
      </c>
      <c r="G12" s="31">
        <f>P*EXP(Z-1-LN(Z-B)-A/B/2.8284*LN((Z+2.414*B)/(Z-0.414*B)))</f>
        <v>0.10094678621691455</v>
      </c>
      <c r="H12" s="35">
        <f>_R*TK*(Z-1-A/B/2.8284*(1+kappa*SQRT(Tr/alpha))*LN((Z+2.4142*B)/(Z-0.4142*B)))</f>
        <v>-8.6249657196457878</v>
      </c>
      <c r="I12" s="35">
        <f>H12-(Z-1)*_R*TK</f>
        <v>-7.3233481353777012</v>
      </c>
      <c r="J12" s="32">
        <f>_R*LN(Z-B)-A*_R/B/2.8284*kappa*SQRT(Tr/alpha)*LN((Z+2.4142*B)/(Z-0.4142*B))</f>
        <v>-2.4559245947033414E-2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3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3" thickBot="1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1.747979105491855E-8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-0.99899851643101067</v>
      </c>
      <c r="B23" s="23">
        <f>J31-3*J32^2-2*J32</f>
        <v>-4.7537393345171617E-4</v>
      </c>
      <c r="C23" s="23">
        <f>-(J31*J32-J32^2-J32^3)</f>
        <v>-5.288990701042103E-7</v>
      </c>
      <c r="D23" s="23">
        <f>(3*B23-A23^2)/3</f>
        <v>-0.33314138587723846</v>
      </c>
      <c r="E23" s="23">
        <f>(2*A23^3-9*A23*B23+27*C23)/27</f>
        <v>-7.4010573161351484E-2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2.2422874341610233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2.8865390111460418E-2</v>
      </c>
      <c r="I28" s="11">
        <f>0.4572355289*(B4*I26)^2*H30/C4</f>
        <v>93034.239740213408</v>
      </c>
      <c r="J28" s="12"/>
    </row>
    <row r="29" spans="1:10" ht="14">
      <c r="A29" s="23">
        <f>(-$E$23/2+SQRT($H$21))^(1/3)</f>
        <v>0.33363444336316517</v>
      </c>
      <c r="B29" s="23">
        <f>(-$E$23/2-SQRT($H$21))^(1/3)</f>
        <v>0.33284072083909522</v>
      </c>
      <c r="C29" s="23">
        <f>A29+B29</f>
        <v>0.66647516420226038</v>
      </c>
      <c r="D29" s="17"/>
      <c r="G29" s="3" t="s">
        <v>43</v>
      </c>
      <c r="H29" s="18">
        <f>0.37464+1.54226*D4-0.26992*D4^2</f>
        <v>0.47525338847999998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0.58307909903584898</v>
      </c>
      <c r="I30" s="11">
        <f>0.0777960739*I26*B4/C4</f>
        <v>24.568203105553533</v>
      </c>
      <c r="J30" s="12"/>
    </row>
    <row r="31" spans="1:10">
      <c r="A31" t="s">
        <v>70</v>
      </c>
      <c r="I31" s="1" t="s">
        <v>48</v>
      </c>
      <c r="J31" s="16">
        <f>I28*B8/(I26*B7)^2</f>
        <v>1.5306021125438066E-3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1.0014835689893279E-3</v>
      </c>
    </row>
    <row r="33" spans="1:7">
      <c r="A33" s="23">
        <f>2*SQRT(-D23/3)</f>
        <v>0.66647469156974348</v>
      </c>
      <c r="B33" s="23">
        <f>3*E23/D23/A33</f>
        <v>1.0000063823828986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topLeftCell="A40" workbookViewId="0">
      <selection activeCell="C90" sqref="C90:F90"/>
    </sheetView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topLeftCell="A83" workbookViewId="0">
      <selection activeCell="D111" sqref="D111:G111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2017-03-22T01:37:50Z</dcterms:modified>
</cp:coreProperties>
</file>