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11 ChE Thermo 2021/"/>
    </mc:Choice>
  </mc:AlternateContent>
  <xr:revisionPtr revIDLastSave="0" documentId="10_ncr:8100000_{12262BB6-4F95-D041-BB6A-ECFDE21326C3}" xr6:coauthVersionLast="34" xr6:coauthVersionMax="34" xr10:uidLastSave="{00000000-0000-0000-0000-000000000000}"/>
  <bookViews>
    <workbookView xWindow="3220" yWindow="3380" windowWidth="24940" windowHeight="155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Props!$E$14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1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 s="1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E30" i="3"/>
  <c r="C9" i="3" s="1"/>
  <c r="I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D11" i="3"/>
  <c r="I11" i="3"/>
  <c r="K11" i="3"/>
  <c r="E11" i="3"/>
  <c r="I10" i="3"/>
  <c r="K10" i="3"/>
  <c r="D10" i="3"/>
  <c r="D9" i="3"/>
  <c r="K9" i="3"/>
  <c r="E9" i="3"/>
  <c r="G12" i="4"/>
  <c r="H12" i="4"/>
  <c r="I12" i="4" s="1"/>
  <c r="F12" i="4"/>
  <c r="J12" i="4"/>
  <c r="L15" i="3" l="1"/>
  <c r="J9" i="4"/>
  <c r="C18" i="4"/>
  <c r="G11" i="4"/>
  <c r="J11" i="4"/>
  <c r="F9" i="4"/>
  <c r="H9" i="4"/>
  <c r="I9" i="4" s="1"/>
  <c r="E19" i="4" s="1"/>
  <c r="I12" i="3"/>
  <c r="J12" i="3" s="1"/>
  <c r="D12" i="3"/>
  <c r="E12" i="3"/>
  <c r="F11" i="4"/>
  <c r="E14" i="3"/>
  <c r="J9" i="3"/>
  <c r="J11" i="3"/>
  <c r="J10" i="3"/>
  <c r="D19" i="4" l="1"/>
  <c r="F19" i="4"/>
  <c r="H11" i="3" s="1"/>
  <c r="N10" i="3" s="1"/>
  <c r="E18" i="4"/>
  <c r="D18" i="4"/>
  <c r="F9" i="3" l="1"/>
  <c r="O8" i="3" s="1"/>
  <c r="H9" i="3"/>
  <c r="O10" i="3" s="1"/>
  <c r="H10" i="3"/>
  <c r="H12" i="3"/>
  <c r="F12" i="3"/>
  <c r="G12" i="3" s="1"/>
  <c r="F10" i="3"/>
  <c r="G10" i="3" s="1"/>
  <c r="F11" i="3"/>
  <c r="N8" i="3" s="1"/>
  <c r="M8" i="3" s="1"/>
  <c r="G9" i="3" l="1"/>
  <c r="M10" i="3"/>
  <c r="G11" i="3"/>
</calcChain>
</file>

<file path=xl/sharedStrings.xml><?xml version="1.0" encoding="utf-8"?>
<sst xmlns="http://schemas.openxmlformats.org/spreadsheetml/2006/main" count="508" uniqueCount="314">
  <si>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</si>
  <si>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</si>
  <si>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</si>
  <si>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</si>
  <si>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</si>
  <si>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</si>
  <si>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</si>
  <si>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</si>
  <si>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</si>
  <si>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</si>
  <si>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</si>
  <si>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</si>
  <si>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</si>
  <si>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</si>
  <si>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</si>
  <si>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</si>
  <si>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</si>
  <si>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</si>
  <si>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</si>
  <si>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</si>
  <si>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</si>
  <si>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</si>
  <si>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</si>
  <si>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</si>
  <si>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</si>
  <si>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</si>
  <si>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</si>
  <si>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</si>
  <si>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</si>
  <si>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</si>
  <si>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</si>
  <si>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</si>
  <si>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</si>
  <si>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</si>
  <si>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</si>
  <si>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</si>
  <si>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</si>
  <si>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</si>
  <si>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</si>
  <si>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</si>
  <si>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</si>
  <si>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</si>
  <si>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</si>
  <si>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</si>
  <si>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</si>
  <si>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</si>
  <si>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</si>
  <si>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</si>
  <si>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</si>
  <si>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</si>
  <si>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</si>
  <si>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</si>
  <si>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</si>
  <si>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</si>
  <si>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</si>
  <si>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</si>
  <si>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</si>
  <si>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</si>
  <si>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</si>
  <si>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</si>
  <si>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</si>
  <si>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</si>
  <si>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</si>
  <si>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</si>
  <si>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</si>
  <si>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</si>
  <si>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</si>
  <si>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</si>
  <si>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</si>
  <si>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</si>
  <si>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</si>
  <si>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</si>
  <si>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</si>
  <si>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</si>
  <si>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</si>
  <si>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</si>
  <si>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</si>
  <si>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</si>
  <si>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</si>
  <si>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</si>
  <si>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</si>
  <si>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</si>
  <si>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</si>
  <si>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</si>
  <si>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</si>
  <si>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</si>
  <si>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</si>
  <si>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</si>
  <si>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</si>
  <si>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</si>
  <si>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</si>
  <si>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</si>
  <si>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</si>
  <si>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</si>
  <si>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</si>
  <si>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</si>
  <si>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</si>
  <si>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</si>
  <si>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</si>
  <si>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</si>
  <si>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</si>
  <si>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</si>
  <si>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</si>
  <si>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</si>
  <si>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</si>
  <si>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</si>
  <si>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</si>
  <si>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</si>
  <si>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</si>
  <si>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</si>
  <si>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</si>
  <si>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</si>
  <si>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</si>
  <si>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</si>
  <si>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</si>
  <si>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</si>
  <si>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</si>
  <si>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</si>
  <si>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</si>
  <si>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</si>
  <si>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</si>
  <si>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</si>
  <si>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</si>
  <si>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</si>
  <si>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</si>
  <si>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</si>
  <si>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</si>
  <si>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</si>
  <si>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</si>
  <si>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</si>
  <si>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</si>
  <si>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</si>
  <si>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</si>
  <si>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</si>
  <si>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</si>
  <si>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</si>
  <si>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</si>
  <si>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</si>
  <si>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</si>
  <si>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</si>
  <si>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</si>
  <si>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</si>
  <si>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</si>
  <si>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</si>
  <si>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</si>
  <si>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</si>
  <si>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</si>
  <si>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</si>
  <si>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</si>
  <si>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</si>
  <si>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</si>
  <si>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</si>
  <si>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</si>
  <si>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</si>
  <si>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</si>
  <si>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</si>
  <si>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</si>
  <si>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</si>
  <si>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</si>
  <si>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</si>
  <si>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</si>
  <si>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</si>
  <si>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</si>
  <si>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</si>
  <si>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</si>
  <si>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</si>
  <si>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</si>
  <si>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</si>
  <si>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</si>
  <si>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</si>
  <si>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</si>
  <si>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</si>
  <si>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</si>
  <si>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</si>
  <si>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</si>
  <si>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</si>
  <si>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</si>
  <si>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</si>
  <si>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</si>
  <si>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</si>
  <si>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</si>
  <si>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</si>
  <si>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</si>
  <si>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</si>
  <si>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</si>
  <si>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</si>
  <si>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</si>
  <si>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</si>
  <si>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</si>
  <si>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</si>
  <si>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</si>
  <si>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</si>
  <si>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</si>
  <si>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</si>
  <si>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</si>
  <si>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</si>
  <si>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</si>
  <si>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</si>
  <si>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</si>
  <si>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</si>
  <si>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</si>
  <si>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</si>
  <si>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</si>
  <si>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</si>
  <si>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</si>
  <si>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</si>
  <si>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</si>
  <si>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</si>
  <si>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</si>
  <si>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</si>
  <si>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</si>
  <si>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</si>
  <si>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</si>
  <si>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</si>
  <si>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</si>
  <si>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</si>
  <si>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</si>
  <si>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</si>
  <si>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</si>
  <si>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</si>
  <si>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</si>
  <si>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</si>
  <si>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</si>
  <si>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</si>
  <si>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</si>
  <si>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</si>
  <si>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</si>
  <si>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</si>
  <si>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</si>
  <si>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</si>
  <si>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</si>
  <si>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</si>
  <si>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</si>
  <si>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</si>
  <si>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</si>
  <si>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</si>
  <si>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</si>
  <si>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</si>
  <si>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</si>
  <si>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</si>
  <si>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</si>
  <si>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</si>
  <si>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</si>
  <si>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</si>
  <si>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</si>
  <si>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</si>
  <si>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</si>
  <si>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</si>
  <si>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</si>
  <si>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</si>
  <si>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</si>
  <si>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</si>
  <si>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</si>
  <si>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</si>
  <si>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</si>
  <si>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</si>
  <si>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</si>
  <si>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</si>
  <si>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</si>
  <si>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</si>
  <si>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</si>
  <si>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</si>
  <si>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</si>
  <si>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</si>
  <si>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</si>
  <si>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</si>
  <si>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</si>
  <si>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</si>
  <si>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</si>
  <si>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</si>
  <si>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</si>
  <si>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</si>
  <si>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</si>
  <si>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</si>
  <si>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</si>
  <si>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</si>
  <si>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</si>
  <si>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</si>
  <si>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</si>
  <si>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</si>
  <si>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</si>
  <si>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</si>
  <si>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</si>
  <si>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</si>
  <si>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</si>
  <si>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</si>
  <si>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</si>
  <si>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</si>
  <si>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</si>
  <si>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</si>
  <si>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</si>
  <si>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</si>
  <si>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</si>
  <si>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</si>
  <si>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</si>
  <si>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</si>
  <si>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</si>
  <si>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</si>
  <si>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</si>
  <si>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</si>
  <si>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</si>
  <si>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</si>
  <si>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</si>
  <si>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</si>
  <si>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</si>
  <si>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</si>
  <si>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</si>
  <si>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</si>
  <si>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HL</t>
  </si>
  <si>
    <t>HV</t>
  </si>
  <si>
    <t>H Target</t>
  </si>
  <si>
    <t>SL</t>
  </si>
  <si>
    <t>SV</t>
  </si>
  <si>
    <t>K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</si>
</sst>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20" xfId="0" applyNumberFormat="1" applyFill="1" applyBorder="1"/>
    <xf numFmtId="0" fontId="0" fillId="2" borderId="20" xfId="0" applyFill="1" applyBorder="1"/>
    <xf numFmtId="0" fontId="10" fillId="2" borderId="20" xfId="0" applyNumberFormat="1" applyFont="1" applyFill="1" applyBorder="1"/>
    <xf numFmtId="0" fontId="10" fillId="2" borderId="20" xfId="0" applyFont="1" applyFill="1" applyBorder="1"/>
    <xf numFmtId="0" fontId="6" fillId="2" borderId="20" xfId="0" applyNumberFormat="1" applyFont="1" applyFill="1" applyBorder="1"/>
    <xf numFmtId="0" fontId="6" fillId="2" borderId="20" xfId="0" applyFont="1" applyFill="1" applyBorder="1"/>
    <xf numFmtId="0" fontId="6" fillId="3" borderId="20" xfId="0" applyFont="1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49" zoomScaleNormal="149" zoomScalePageLayoutView="130" workbookViewId="0">
      <selection activeCell="B8" sqref="B8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27</v>
      </c>
      <c r="B4">
        <v>190.6</v>
      </c>
      <c r="C4">
        <v>4.6040000000000001</v>
      </c>
      <c r="D4">
        <v>1.0999999999999999E-2</v>
      </c>
      <c r="E4">
        <v>19.25</v>
      </c>
      <c r="F4" s="91">
        <v>5.2130000000000003E-2</v>
      </c>
      <c r="G4" s="91">
        <v>1.1970000000000001E-5</v>
      </c>
      <c r="H4" s="91">
        <v>-1.132E-8</v>
      </c>
      <c r="I4" s="20"/>
      <c r="J4" s="4">
        <f>CPA*(TK-TREF)+CPB/2*(TK^2-TREF^2)+CPC/3*(TK^3-TREF^3)+CPD/4*(TK^4-TREF^4)</f>
        <v>-4648.4521239027208</v>
      </c>
      <c r="K4" s="20">
        <f>J4-_R*(TK-TREF)</f>
        <v>-3417.910267902721</v>
      </c>
      <c r="L4" s="21">
        <f>CPA*LN(TK/TREF)+CPB*(TK-TREF)+CPC/2*(TK^2-TREF^2)+CPD/3*(TK^3-TREF^3)-_R*LN(P/PREF)</f>
        <v>-21.239268690062779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6" ht="16" thickTop="1" x14ac:dyDescent="0.15">
      <c r="A7" s="5" t="s">
        <v>32</v>
      </c>
      <c r="B7" s="48">
        <v>150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 s="97" t="s">
        <v>61</v>
      </c>
      <c r="N7" s="98" t="s">
        <v>308</v>
      </c>
      <c r="O7" s="98" t="s">
        <v>309</v>
      </c>
      <c r="P7" s="98" t="s">
        <v>310</v>
      </c>
    </row>
    <row r="8" spans="1:16" ht="16" thickBot="1" x14ac:dyDescent="0.2">
      <c r="A8" s="7" t="s">
        <v>38</v>
      </c>
      <c r="B8" s="49">
        <v>0.8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 s="97">
        <f>(P8-N8)/(O8-N8)</f>
        <v>-0.52859171404007788</v>
      </c>
      <c r="N8" s="98">
        <f>F11</f>
        <v>-11715.912155610607</v>
      </c>
      <c r="O8" s="98">
        <f>F9</f>
        <v>-4935.4656423728939</v>
      </c>
      <c r="P8" s="98">
        <v>-15300</v>
      </c>
    </row>
    <row r="9" spans="1:16" x14ac:dyDescent="0.15">
      <c r="A9" s="36" t="s">
        <v>42</v>
      </c>
      <c r="B9" s="44"/>
      <c r="C9" s="29">
        <f>E30-$A$20/3</f>
        <v>0.86462166469052981</v>
      </c>
      <c r="D9" s="6">
        <f>C9*$I$23*$B$7/$B$8</f>
        <v>1347.9136165617747</v>
      </c>
      <c r="E9" s="5">
        <f>P*EXP(Z-1-LN(Z-B)-A/B/2.8284*LN((Z+2.4142*B)/(Z-0.4142*B)))</f>
        <v>0.70352527597615389</v>
      </c>
      <c r="F9" s="29">
        <f>I9+$J$4-'Ref State'!$D$19+'Ref State'!$D$18</f>
        <v>-4935.4656423728939</v>
      </c>
      <c r="G9" s="29">
        <f>F9-Z*_R*TK</f>
        <v>-6013.796535622314</v>
      </c>
      <c r="H9" s="29">
        <f>K9+$L$4-'Ref State'!$F$19+'Ref State'!$F$18</f>
        <v>-22.713092597971741</v>
      </c>
      <c r="I9" s="29">
        <f>_R*TK*(Z-1-A/B/2.8284*(1+kappa*SQRT(Tr/alpha))*LN((Z+2.4142*B)/(Z-0.4142*B)))</f>
        <v>-432.54194203396554</v>
      </c>
      <c r="J9" s="29">
        <f>I9-(Z-1)*_R*TK</f>
        <v>-263.70203528338533</v>
      </c>
      <c r="K9" s="6">
        <f>_R*LN(Z-B)-A*_R/B/2.8284*kappa*SQRT(Tr/alpha)*LN((Z+2.4142*B)/(Z-0.4142*B))</f>
        <v>-1.815137420445482</v>
      </c>
      <c r="M9" s="99" t="s">
        <v>92</v>
      </c>
      <c r="N9" s="100" t="s">
        <v>311</v>
      </c>
      <c r="O9" s="100" t="s">
        <v>312</v>
      </c>
      <c r="P9" s="96"/>
    </row>
    <row r="10" spans="1:16" x14ac:dyDescent="0.15">
      <c r="A10" s="38" t="s">
        <v>45</v>
      </c>
      <c r="B10" s="45"/>
      <c r="C10" s="17">
        <f>F30-$A$20/3</f>
        <v>9.1678243501059603E-2</v>
      </c>
      <c r="D10" s="28">
        <f>C10*$I$23*$B$7/$B$8</f>
        <v>142.92303536226413</v>
      </c>
      <c r="E10" s="54"/>
      <c r="F10" s="17">
        <f>I10+$J$4-'Ref State'!$D$19+'Ref State'!$D$18</f>
        <v>-7807.9250993618298</v>
      </c>
      <c r="G10" s="17">
        <f>F10-Z*_R*TK</f>
        <v>-7922.2635276516412</v>
      </c>
      <c r="H10" s="17">
        <f>K10+$L$4-'Ref State'!$F$19+'Ref State'!$F$18</f>
        <v>-46.104990628918607</v>
      </c>
      <c r="I10" s="17">
        <f>_R*TK*(Z-1-A/B/2.8284*(1+kappa*SQRT(Tr/alpha))*LN((Z+2.4142*B)/(Z-0.4142*B)))</f>
        <v>-3305.0013990229022</v>
      </c>
      <c r="J10" s="17">
        <f>I10-(Z-1)*_R*TK</f>
        <v>-2172.1690273127133</v>
      </c>
      <c r="K10" s="28">
        <f>_R*LN(Z-B)-A*_R/B/2.8284*kappa*SQRT(Tr/alpha)*LN((Z+2.4142*B)/(Z-0.4142*B))</f>
        <v>-25.207035451392343</v>
      </c>
      <c r="M10" s="95">
        <f>O10*M8+(1-M8)*N10</f>
        <v>-94.586990535766844</v>
      </c>
      <c r="N10" s="96">
        <f>H11</f>
        <v>-69.732775668104267</v>
      </c>
      <c r="O10" s="96">
        <f>H9</f>
        <v>-22.713092597971741</v>
      </c>
      <c r="P10" s="96"/>
    </row>
    <row r="11" spans="1:16" ht="14" thickBot="1" x14ac:dyDescent="0.2">
      <c r="A11" s="7"/>
      <c r="B11" s="8"/>
      <c r="C11" s="30">
        <f>G30-$A$20/3</f>
        <v>2.6523223363185966E-2</v>
      </c>
      <c r="D11" s="8">
        <f>C11*$I$23*$B$7/$B$8</f>
        <v>41.348737125554159</v>
      </c>
      <c r="E11" s="7">
        <f>P*EXP(Z-1-LN(Z-B)-A/B/2.8284*LN((Z+2.4142*B)/(Z-0.4142*B)))</f>
        <v>0.8753318794142535</v>
      </c>
      <c r="F11" s="30">
        <f>I11+$J$4-'Ref State'!$D$19+'Ref State'!$D$18</f>
        <v>-11715.912155610607</v>
      </c>
      <c r="G11" s="30">
        <f>F11-Z*_R*TK</f>
        <v>-11748.991145311051</v>
      </c>
      <c r="H11" s="30">
        <f>K11+$L$4-'Ref State'!$F$19+'Ref State'!$F$18</f>
        <v>-69.732775668104267</v>
      </c>
      <c r="I11" s="30">
        <f>_R*TK*(Z-1-A/B/2.8284*(1+kappa*SQRT(Tr/alpha))*LN((Z+2.4142*B)/(Z-0.4142*B)))</f>
        <v>-7212.9884552716803</v>
      </c>
      <c r="J11" s="30">
        <f>I11-(Z-1)*_R*TK</f>
        <v>-5998.8966449721238</v>
      </c>
      <c r="K11" s="8">
        <f>_R*LN(Z-B)-A*_R/B/2.8284*kappa*SQRT(Tr/alpha)*LN((Z+2.4142*B)/(Z-0.4142*B))</f>
        <v>-48.834820490578011</v>
      </c>
      <c r="M11" s="86"/>
    </row>
    <row r="12" spans="1:16" ht="14" thickBot="1" x14ac:dyDescent="0.2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  <c r="M12" s="86"/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  <c r="M13" s="86"/>
    </row>
    <row r="14" spans="1:16" x14ac:dyDescent="0.15">
      <c r="C14" s="17"/>
      <c r="D14" s="17"/>
      <c r="E14" s="89">
        <f>E9/E11</f>
        <v>0.80372404172795853</v>
      </c>
      <c r="F14" s="17"/>
      <c r="G14" s="17"/>
      <c r="L14" s="101" t="s">
        <v>313</v>
      </c>
      <c r="M14" s="86"/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L15" s="102">
        <f>E11/E9</f>
        <v>1.2442081461816918</v>
      </c>
      <c r="M15" s="86"/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s="86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  <c r="M17" s="86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-1.6495196266759623E-5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-0.98282313155477552</v>
      </c>
      <c r="B20" s="23">
        <f>J28-3*J29^2-2*J29</f>
        <v>0.10463115157894978</v>
      </c>
      <c r="C20" s="23">
        <f>-(J28*J29-J29^2-J29^3)</f>
        <v>-2.1024162272878649E-3</v>
      </c>
      <c r="D20" s="23">
        <f>(3*B20-A20^2)/3</f>
        <v>-0.2173492843940954</v>
      </c>
      <c r="E20" s="23">
        <f>(2*A20^3-9*A20*B20+27*C20)/27</f>
        <v>-3.8146626516819292E-2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</row>
    <row r="23" spans="1:13" ht="15" x14ac:dyDescent="0.15">
      <c r="G23" s="23" t="s">
        <v>31</v>
      </c>
      <c r="H23" s="11"/>
      <c r="I23" s="90">
        <v>8.3144720000000003</v>
      </c>
      <c r="J23" s="23"/>
    </row>
    <row r="24" spans="1:13" ht="16" x14ac:dyDescent="0.2">
      <c r="A24" t="s">
        <v>64</v>
      </c>
      <c r="G24" s="1" t="s">
        <v>36</v>
      </c>
      <c r="H24" s="16">
        <f>TK/B4</f>
        <v>0.78698845750262336</v>
      </c>
      <c r="I24" s="23" t="s">
        <v>37</v>
      </c>
      <c r="J24" s="23"/>
      <c r="L24" s="17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0.1737619461337967</v>
      </c>
      <c r="I25" s="11">
        <f>0.4572355289*(B4*I23)^2*H27/C4</f>
        <v>271948.41209773603</v>
      </c>
      <c r="J25" s="12"/>
      <c r="L25" s="86"/>
    </row>
    <row r="26" spans="1:13" ht="15" x14ac:dyDescent="0.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0.39157219967999995</v>
      </c>
      <c r="I26" s="23" t="s">
        <v>44</v>
      </c>
      <c r="J26" s="23"/>
      <c r="L26" s="86"/>
    </row>
    <row r="27" spans="1:13" x14ac:dyDescent="0.15">
      <c r="G27" s="19" t="s">
        <v>46</v>
      </c>
      <c r="H27" s="21">
        <f>(1+kappa*(1-SQRT(Tr)))^2</f>
        <v>1.090352014046817</v>
      </c>
      <c r="I27" s="11">
        <f>0.0777960739*I23*B4/C4</f>
        <v>26.778110950406653</v>
      </c>
      <c r="J27" s="12"/>
      <c r="L27" s="86"/>
    </row>
    <row r="28" spans="1:13" x14ac:dyDescent="0.15">
      <c r="A28" t="s">
        <v>70</v>
      </c>
      <c r="I28" s="1" t="s">
        <v>48</v>
      </c>
      <c r="J28" s="16">
        <f>I25*B8/(I23*B7)^2</f>
        <v>0.13987002289815231</v>
      </c>
      <c r="L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1.7176868445224442E-2</v>
      </c>
      <c r="L29" s="86"/>
    </row>
    <row r="30" spans="1:13" x14ac:dyDescent="0.15">
      <c r="A30" s="23">
        <f>2*SQRT(-D20/3)</f>
        <v>0.53832986714355158</v>
      </c>
      <c r="B30" s="23">
        <f>3*E20/D20/A30</f>
        <v>0.97807171971800588</v>
      </c>
      <c r="C30" s="23">
        <f>ACOS(B30)</f>
        <v>0.20980416498063192</v>
      </c>
      <c r="D30" s="23">
        <f>C30/3</f>
        <v>6.9934721660210641E-2</v>
      </c>
      <c r="E30" s="23">
        <f>$A$30*COS($D$30)</f>
        <v>0.53701395417227127</v>
      </c>
      <c r="F30" s="23">
        <f>$A$30*COS($D$30+4*PI()/3)</f>
        <v>-0.23592946701719889</v>
      </c>
      <c r="G30" s="23">
        <f>$A$30*COS($D$30+2*PI()/3)</f>
        <v>-0.30108448715507252</v>
      </c>
      <c r="L30" s="86"/>
    </row>
    <row r="31" spans="1:13" x14ac:dyDescent="0.15">
      <c r="L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</row>
    <row r="33" spans="1:12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1</v>
      </c>
      <c r="L33" s="86"/>
    </row>
    <row r="34" spans="1:12" x14ac:dyDescent="0.15">
      <c r="A34" s="23" t="s">
        <v>102</v>
      </c>
      <c r="B34" s="23">
        <f>'Ref State'!B8</f>
        <v>0.8</v>
      </c>
      <c r="C34" s="23" t="s">
        <v>103</v>
      </c>
      <c r="D34" s="23">
        <f>'Ref State'!A12</f>
        <v>1</v>
      </c>
      <c r="L34" s="86"/>
    </row>
    <row r="35" spans="1:12" x14ac:dyDescent="0.15">
      <c r="A35" s="23" t="s">
        <v>104</v>
      </c>
      <c r="B35" s="23">
        <f>'Ref State'!A15</f>
        <v>3</v>
      </c>
      <c r="C35" s="23"/>
      <c r="D35" s="23"/>
      <c r="L35" s="86"/>
    </row>
    <row r="36" spans="1:12" x14ac:dyDescent="0.15">
      <c r="L36" s="86"/>
    </row>
    <row r="37" spans="1:12" x14ac:dyDescent="0.15">
      <c r="L37" s="86"/>
    </row>
    <row r="38" spans="1:12" x14ac:dyDescent="0.15">
      <c r="L38" s="86"/>
    </row>
    <row r="39" spans="1:12" x14ac:dyDescent="0.15">
      <c r="L39" s="86"/>
    </row>
    <row r="40" spans="1:12" x14ac:dyDescent="0.15">
      <c r="L40" s="86"/>
    </row>
    <row r="41" spans="1:12" x14ac:dyDescent="0.15">
      <c r="L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topLeftCell="A3" zoomScale="140" zoomScaleNormal="140" zoomScalePageLayoutView="115" workbookViewId="0">
      <selection activeCell="B9" sqref="B9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METHANE</v>
      </c>
      <c r="B4" s="74">
        <f>Props!B4</f>
        <v>190.6</v>
      </c>
      <c r="C4" s="74">
        <f>Props!C4</f>
        <v>4.6040000000000001</v>
      </c>
      <c r="D4" s="74">
        <f>Props!D4</f>
        <v>1.0999999999999999E-2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0.8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1</v>
      </c>
      <c r="B12" s="43"/>
      <c r="C12" s="57">
        <v>3</v>
      </c>
      <c r="D12" s="43"/>
      <c r="E12" s="35">
        <f>C29-A23/3</f>
        <v>0.98242859442092856</v>
      </c>
      <c r="F12" s="32">
        <f>E12*$I$26*$B$7/$B$8</f>
        <v>3042.7197025162818</v>
      </c>
      <c r="G12" s="31">
        <f>P*EXP(Z-1-LN(Z-B)-A/B/2.8284*LN((Z+2.414*B)/(Z-0.414*B)))</f>
        <v>0.78597976413010473</v>
      </c>
      <c r="H12" s="35">
        <f>_R*TK*(Z-1-A/B/2.8284*(1+kappa*SQRT(Tr/alpha))*LN((Z+2.4142*B)/(Z-0.4142*B)))</f>
        <v>-145.52842356379324</v>
      </c>
      <c r="I12" s="35">
        <f>H12-(Z-1)*_R*TK</f>
        <v>-101.99152957681892</v>
      </c>
      <c r="J12" s="32">
        <f>_R*LN(Z-B)-A*_R/B/2.8284*kappa*SQRT(Tr/alpha)*LN((Z+2.4142*B)/(Z-0.4142*B))</f>
        <v>-0.34131351253651815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0.98242859442092856</v>
      </c>
      <c r="D18" s="69">
        <f>uhflag*$C$18*_R*TK</f>
        <v>0</v>
      </c>
      <c r="E18" s="69">
        <f>(uhflag-1)*$C$18*_R*TK</f>
        <v>-2434.1757620130256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-145.52842356379324</v>
      </c>
      <c r="E19" s="62">
        <f>igrflag*CHOOSE(index,I9,I11,I12)</f>
        <v>-101.99152957681892</v>
      </c>
      <c r="F19" s="63">
        <f>igrflag*CHOOSE(index,J9,J11,J12)</f>
        <v>-0.34131351253651815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4.6099989826121641E-6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-0.99135392527924948</v>
      </c>
      <c r="B23" s="23">
        <f>J31-3*J32^2-2*J32</f>
        <v>8.9244492233010141E-3</v>
      </c>
      <c r="C23" s="23">
        <f>-(J31*J32-J32^2-J32^3)</f>
        <v>-1.532087307573116E-4</v>
      </c>
      <c r="D23" s="23">
        <f>(3*B23-A23^2)/3</f>
        <v>-0.3186697524988909</v>
      </c>
      <c r="E23" s="23">
        <f>(2*A23^3-9*A23*B23+27*C23)/27</f>
        <v>-6.937340120260288E-2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1.5634837355718783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0.1737619461337967</v>
      </c>
      <c r="I28" s="11">
        <f>0.4572355289*(B4*I26)^2*H30/C4</f>
        <v>202902.55177837631</v>
      </c>
      <c r="J28" s="12"/>
    </row>
    <row r="29" spans="1:10" ht="15" x14ac:dyDescent="0.15">
      <c r="A29" s="23">
        <f>(-$E$23/2+SQRT($H$21))^(1/3)</f>
        <v>0.33272247773154823</v>
      </c>
      <c r="B29" s="23">
        <f>(-$E$23/2-SQRT($H$21))^(1/3)</f>
        <v>0.31925480826296376</v>
      </c>
      <c r="C29" s="23">
        <f>A29+B29</f>
        <v>0.65197728599451199</v>
      </c>
      <c r="D29" s="17"/>
      <c r="G29" s="3" t="s">
        <v>43</v>
      </c>
      <c r="H29" s="18">
        <f>0.37464+1.54226*D4-0.26992*D4^2</f>
        <v>0.39157219967999995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0.81351902105345275</v>
      </c>
      <c r="I30" s="11">
        <f>0.0777960739*I26*B4/C4</f>
        <v>26.778110950406653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2.6440862489032536E-2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8.6460747207505583E-3</v>
      </c>
    </row>
    <row r="33" spans="1:7" x14ac:dyDescent="0.15">
      <c r="A33" s="23">
        <f>2*SQRT(-D23/3)</f>
        <v>0.65183817265626176</v>
      </c>
      <c r="B33" s="23">
        <f>3*E23/D23/A33</f>
        <v>1.0019212994757349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opLeftCell="A7" workbookViewId="0">
      <selection activeCell="C12" sqref="C12:F12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topLeftCell="A9" zoomScale="145" zoomScaleNormal="145" workbookViewId="0">
      <selection activeCell="D15" sqref="D15:G15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2021-03-25T04:12:04Z</dcterms:modified>
</cp:coreProperties>
</file>