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1 ChE Thermo 2021/"/>
    </mc:Choice>
  </mc:AlternateContent>
  <xr:revisionPtr revIDLastSave="0" documentId="10_ncr:8100000_{FD45E754-8B34-A44C-A329-94B9C5856B35}" xr6:coauthVersionLast="34" xr6:coauthVersionMax="34" xr10:uidLastSave="{00000000-0000-0000-0000-000000000000}"/>
  <bookViews>
    <workbookView xWindow="3200" yWindow="1240" windowWidth="24940" windowHeight="155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Props!$E$14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1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 s="1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E30" i="3"/>
  <c r="C9" i="3" s="1"/>
  <c r="I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D11" i="3"/>
  <c r="I11" i="3"/>
  <c r="K11" i="3"/>
  <c r="E11" i="3"/>
  <c r="I10" i="3"/>
  <c r="K10" i="3"/>
  <c r="D10" i="3"/>
  <c r="D9" i="3"/>
  <c r="K9" i="3"/>
  <c r="E9" i="3"/>
  <c r="G12" i="4"/>
  <c r="H12" i="4"/>
  <c r="I12" i="4" s="1"/>
  <c r="F12" i="4"/>
  <c r="J12" i="4"/>
  <c r="L15" i="3" l="1"/>
  <c r="J9" i="4"/>
  <c r="C18" i="4"/>
  <c r="G11" i="4"/>
  <c r="J11" i="4"/>
  <c r="F9" i="4"/>
  <c r="H9" i="4"/>
  <c r="I9" i="4" s="1"/>
  <c r="E19" i="4" s="1"/>
  <c r="I12" i="3"/>
  <c r="J12" i="3" s="1"/>
  <c r="D12" i="3"/>
  <c r="E12" i="3"/>
  <c r="F11" i="4"/>
  <c r="E14" i="3"/>
  <c r="J9" i="3"/>
  <c r="J11" i="3"/>
  <c r="J10" i="3"/>
  <c r="D19" i="4" l="1"/>
  <c r="F19" i="4"/>
  <c r="H11" i="3" s="1"/>
  <c r="N10" i="3" s="1"/>
  <c r="E18" i="4"/>
  <c r="D18" i="4"/>
  <c r="F9" i="3" l="1"/>
  <c r="O8" i="3" s="1"/>
  <c r="H9" i="3"/>
  <c r="O10" i="3" s="1"/>
  <c r="H10" i="3"/>
  <c r="H12" i="3"/>
  <c r="F12" i="3"/>
  <c r="G12" i="3" s="1"/>
  <c r="F10" i="3"/>
  <c r="G10" i="3" s="1"/>
  <c r="F11" i="3"/>
  <c r="N8" i="3" s="1"/>
  <c r="M8" i="3" l="1"/>
  <c r="M10" i="3" s="1"/>
  <c r="G9" i="3"/>
  <c r="G11" i="3"/>
</calcChain>
</file>

<file path=xl/sharedStrings.xml><?xml version="1.0" encoding="utf-8"?>
<sst xmlns="http://schemas.openxmlformats.org/spreadsheetml/2006/main" count="508" uniqueCount="314">
  <si>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</si>
  <si>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</si>
  <si>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</si>
  <si>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</si>
  <si>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</si>
  <si>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</si>
  <si>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</si>
  <si>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</si>
  <si>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</si>
  <si>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</si>
  <si>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</si>
  <si>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</si>
  <si>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</si>
  <si>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</si>
  <si>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</si>
  <si>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</si>
  <si>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</si>
  <si>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</si>
  <si>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</si>
  <si>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</si>
  <si>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</si>
  <si>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</si>
  <si>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</si>
  <si>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</si>
  <si>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</si>
  <si>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</si>
  <si>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</si>
  <si>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</si>
  <si>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</si>
  <si>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</si>
  <si>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</si>
  <si>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</si>
  <si>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</si>
  <si>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</si>
  <si>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</si>
  <si>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</si>
  <si>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</si>
  <si>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</si>
  <si>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</si>
  <si>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</si>
  <si>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</si>
  <si>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</si>
  <si>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</si>
  <si>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</si>
  <si>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</si>
  <si>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</si>
  <si>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</si>
  <si>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</si>
  <si>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</si>
  <si>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</si>
  <si>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</si>
  <si>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</si>
  <si>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</si>
  <si>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</si>
  <si>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</si>
  <si>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</si>
  <si>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</si>
  <si>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</si>
  <si>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</si>
  <si>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</si>
  <si>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</si>
  <si>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</si>
  <si>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</si>
  <si>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</si>
  <si>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</si>
  <si>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</si>
  <si>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</si>
  <si>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</si>
  <si>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</si>
  <si>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</si>
  <si>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</si>
  <si>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</si>
  <si>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</si>
  <si>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</si>
  <si>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</si>
  <si>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</si>
  <si>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</si>
  <si>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</si>
  <si>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</si>
  <si>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</si>
  <si>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</si>
  <si>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</si>
  <si>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</si>
  <si>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</si>
  <si>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</si>
  <si>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</si>
  <si>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</si>
  <si>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</si>
  <si>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</si>
  <si>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</si>
  <si>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</si>
  <si>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</si>
  <si>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</si>
  <si>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</si>
  <si>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</si>
  <si>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</si>
  <si>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</si>
  <si>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</si>
  <si>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</si>
  <si>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</si>
  <si>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</si>
  <si>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</si>
  <si>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</si>
  <si>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</si>
  <si>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</si>
  <si>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</si>
  <si>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</si>
  <si>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</si>
  <si>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</si>
  <si>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</si>
  <si>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</si>
  <si>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</si>
  <si>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</si>
  <si>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</si>
  <si>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</si>
  <si>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</si>
  <si>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</si>
  <si>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</si>
  <si>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</si>
  <si>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</si>
  <si>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</si>
  <si>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</si>
  <si>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</si>
  <si>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</si>
  <si>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</si>
  <si>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</si>
  <si>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</si>
  <si>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</si>
  <si>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</si>
  <si>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</si>
  <si>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</si>
  <si>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</si>
  <si>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</si>
  <si>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</si>
  <si>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</si>
  <si>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</si>
  <si>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</si>
  <si>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</si>
  <si>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</si>
  <si>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</si>
  <si>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</si>
  <si>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</si>
  <si>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</si>
  <si>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</si>
  <si>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</si>
  <si>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</si>
  <si>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</si>
  <si>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</si>
  <si>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</si>
  <si>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</si>
  <si>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</si>
  <si>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</si>
  <si>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</si>
  <si>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</si>
  <si>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</si>
  <si>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</si>
  <si>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</si>
  <si>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</si>
  <si>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</si>
  <si>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</si>
  <si>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</si>
  <si>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</si>
  <si>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</si>
  <si>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</si>
  <si>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</si>
  <si>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</si>
  <si>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</si>
  <si>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</si>
  <si>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</si>
  <si>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</si>
  <si>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</si>
  <si>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</si>
  <si>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</si>
  <si>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</si>
  <si>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</si>
  <si>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</si>
  <si>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</si>
  <si>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</si>
  <si>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</si>
  <si>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</si>
  <si>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</si>
  <si>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</si>
  <si>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</si>
  <si>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</si>
  <si>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</si>
  <si>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</si>
  <si>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</si>
  <si>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</si>
  <si>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</si>
  <si>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</si>
  <si>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</si>
  <si>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</si>
  <si>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</si>
  <si>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</si>
  <si>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</si>
  <si>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</si>
  <si>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</si>
  <si>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</si>
  <si>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</si>
  <si>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</si>
  <si>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</si>
  <si>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</si>
  <si>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</si>
  <si>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</si>
  <si>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</si>
  <si>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</si>
  <si>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</si>
  <si>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</si>
  <si>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</si>
  <si>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</si>
  <si>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</si>
  <si>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</si>
  <si>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</si>
  <si>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</si>
  <si>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</si>
  <si>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</si>
  <si>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</si>
  <si>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</si>
  <si>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</si>
  <si>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</si>
  <si>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</si>
  <si>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</si>
  <si>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</si>
  <si>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</si>
  <si>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</si>
  <si>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</si>
  <si>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</si>
  <si>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</si>
  <si>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</si>
  <si>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</si>
  <si>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</si>
  <si>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</si>
  <si>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</si>
  <si>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</si>
  <si>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</si>
  <si>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</si>
  <si>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</si>
  <si>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</si>
  <si>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</si>
  <si>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</si>
  <si>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</si>
  <si>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</si>
  <si>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</si>
  <si>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</si>
  <si>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</si>
  <si>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</si>
  <si>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</si>
  <si>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</si>
  <si>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</si>
  <si>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</si>
  <si>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</si>
  <si>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</si>
  <si>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</si>
  <si>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</si>
  <si>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</si>
  <si>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</si>
  <si>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</si>
  <si>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</si>
  <si>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</si>
  <si>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</si>
  <si>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</si>
  <si>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</si>
  <si>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</si>
  <si>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</si>
  <si>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</si>
  <si>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</si>
  <si>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</si>
  <si>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</si>
  <si>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</si>
  <si>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</si>
  <si>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</si>
  <si>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</si>
  <si>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</si>
  <si>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</si>
  <si>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</si>
  <si>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</si>
  <si>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</si>
  <si>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</si>
  <si>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</si>
  <si>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</si>
  <si>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</si>
  <si>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</si>
  <si>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</si>
  <si>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</si>
  <si>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</si>
  <si>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</si>
  <si>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</si>
  <si>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</si>
  <si>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</si>
  <si>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</si>
  <si>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</si>
  <si>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</si>
  <si>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</si>
  <si>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</si>
  <si>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</si>
  <si>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</si>
  <si>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</si>
  <si>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</si>
  <si>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</si>
  <si>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</si>
  <si>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</si>
  <si>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</si>
  <si>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</si>
  <si>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</si>
  <si>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</si>
  <si>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</si>
  <si>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</si>
  <si>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</si>
  <si>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HL</t>
  </si>
  <si>
    <t>HV</t>
  </si>
  <si>
    <t>H Target</t>
  </si>
  <si>
    <t>SL</t>
  </si>
  <si>
    <t>SV</t>
  </si>
  <si>
    <t>K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</si>
</sst>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20" xfId="0" applyNumberFormat="1" applyFill="1" applyBorder="1"/>
    <xf numFmtId="0" fontId="0" fillId="2" borderId="20" xfId="0" applyFill="1" applyBorder="1"/>
    <xf numFmtId="0" fontId="10" fillId="2" borderId="20" xfId="0" applyNumberFormat="1" applyFont="1" applyFill="1" applyBorder="1"/>
    <xf numFmtId="0" fontId="10" fillId="2" borderId="20" xfId="0" applyFont="1" applyFill="1" applyBorder="1"/>
    <xf numFmtId="0" fontId="6" fillId="2" borderId="20" xfId="0" applyNumberFormat="1" applyFont="1" applyFill="1" applyBorder="1"/>
    <xf numFmtId="0" fontId="6" fillId="2" borderId="20" xfId="0" applyFont="1" applyFill="1" applyBorder="1"/>
    <xf numFmtId="0" fontId="6" fillId="3" borderId="20" xfId="0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abSelected="1" zoomScale="149" zoomScaleNormal="149" zoomScalePageLayoutView="130" workbookViewId="0">
      <selection activeCell="E4" sqref="E4:H4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 x14ac:dyDescent="0.15">
      <c r="A1" t="s">
        <v>20</v>
      </c>
      <c r="F1" t="s">
        <v>21</v>
      </c>
    </row>
    <row r="2" spans="1:16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 x14ac:dyDescent="0.15">
      <c r="A4" t="s">
        <v>135</v>
      </c>
      <c r="B4">
        <v>369.8</v>
      </c>
      <c r="C4">
        <v>4.2489999999999997</v>
      </c>
      <c r="D4">
        <v>0.152</v>
      </c>
      <c r="E4">
        <v>-4.2240000000000002</v>
      </c>
      <c r="F4" s="91">
        <v>0.30630000000000002</v>
      </c>
      <c r="G4" s="91">
        <v>-1.5860000000000001E-4</v>
      </c>
      <c r="H4" s="91">
        <v>3.215E-8</v>
      </c>
      <c r="I4" s="20"/>
      <c r="J4" s="4">
        <f>CPA*(TK-TREF)+CPB/2*(TK^2-TREF^2)+CPC/3*(TK^3-TREF^3)+CPD/4*(TK^4-TREF^4)</f>
        <v>-8481.6123678708936</v>
      </c>
      <c r="K4" s="20">
        <f>J4-_R*(TK-TREF)</f>
        <v>-7226.1270958708938</v>
      </c>
      <c r="L4" s="21">
        <f>CPA*LN(TK/TREF)+CPB*(TK-TREF)+CPC/2*(TK^2-TREF^2)+CPD/3*(TK^3-TREF^3)-_R*LN(P/PREF)</f>
        <v>-16.847230168395811</v>
      </c>
    </row>
    <row r="5" spans="1:16" ht="14" thickBot="1" x14ac:dyDescent="0.2"/>
    <row r="6" spans="1:16" ht="14" thickBot="1" x14ac:dyDescent="0.2">
      <c r="A6" s="9" t="s">
        <v>29</v>
      </c>
      <c r="B6" s="10"/>
      <c r="C6" s="31" t="s">
        <v>30</v>
      </c>
      <c r="D6" s="32"/>
      <c r="E6" t="s">
        <v>51</v>
      </c>
    </row>
    <row r="7" spans="1:16" ht="16" thickTop="1" x14ac:dyDescent="0.15">
      <c r="A7" s="5" t="s">
        <v>32</v>
      </c>
      <c r="B7" s="48">
        <v>147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 s="97" t="s">
        <v>61</v>
      </c>
      <c r="N7" s="98" t="s">
        <v>308</v>
      </c>
      <c r="O7" s="98" t="s">
        <v>309</v>
      </c>
      <c r="P7" s="98" t="s">
        <v>310</v>
      </c>
    </row>
    <row r="8" spans="1:16" ht="16" thickBot="1" x14ac:dyDescent="0.2">
      <c r="A8" s="7" t="s">
        <v>38</v>
      </c>
      <c r="B8" s="49">
        <v>7.6794300817091959E-3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 s="97" t="e">
        <f>(P8-N8)/(O8-N8)</f>
        <v>#NUM!</v>
      </c>
      <c r="N8" s="98" t="e">
        <f>F11</f>
        <v>#NUM!</v>
      </c>
      <c r="O8" s="98" t="e">
        <f>F9</f>
        <v>#NUM!</v>
      </c>
      <c r="P8" s="98">
        <v>-15300</v>
      </c>
    </row>
    <row r="9" spans="1:16" x14ac:dyDescent="0.15">
      <c r="A9" s="36" t="s">
        <v>42</v>
      </c>
      <c r="B9" s="44"/>
      <c r="C9" s="29">
        <f>E30-$A$20/3</f>
        <v>0.99248377092465945</v>
      </c>
      <c r="D9" s="6">
        <f>C9*$I$23*$B$7/$B$8</f>
        <v>157959.74832675571</v>
      </c>
      <c r="E9" s="5">
        <f>P*EXP(Z-1-LN(Z-B)-A/B/2.8284*LN((Z+2.4142*B)/(Z-0.4142*B)))</f>
        <v>7.622120626605498E-3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>
        <f>_R*TK*(Z-1-A/B/2.8284*(1+kappa*SQRT(Tr/alpha))*LN((Z+2.4142*B)/(Z-0.4142*B)))</f>
        <v>-21.804259549080196</v>
      </c>
      <c r="J9" s="29">
        <f>I9-(Z-1)*_R*TK</f>
        <v>-12.617718548781975</v>
      </c>
      <c r="K9" s="6">
        <f>_R*LN(Z-B)-A*_R/B/2.8284*kappa*SQRT(Tr/alpha)*LN((Z+2.4142*B)/(Z-0.4142*B))</f>
        <v>-8.6047015494671253E-2</v>
      </c>
      <c r="M9" s="99" t="s">
        <v>92</v>
      </c>
      <c r="N9" s="100" t="s">
        <v>311</v>
      </c>
      <c r="O9" s="100" t="s">
        <v>312</v>
      </c>
      <c r="P9" s="96"/>
    </row>
    <row r="10" spans="1:16" x14ac:dyDescent="0.15">
      <c r="A10" s="38" t="s">
        <v>45</v>
      </c>
      <c r="B10" s="45"/>
      <c r="C10" s="17">
        <f>F30-$A$20/3</f>
        <v>6.7694948381217257E-3</v>
      </c>
      <c r="D10" s="28">
        <f>C10*$I$23*$B$7/$B$8</f>
        <v>1077.4057291967067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>
        <f>_R*TK*(Z-1-A/B/2.8284*(1+kappa*SQRT(Tr/alpha))*LN((Z+2.4142*B)/(Z-0.4142*B)))</f>
        <v>-2975.5192202929134</v>
      </c>
      <c r="J10" s="17">
        <f>I10-(Z-1)*_R*TK</f>
        <v>-1761.5656982599123</v>
      </c>
      <c r="K10" s="28">
        <f>_R*LN(Z-B)-A*_R/B/2.8284*kappa*SQRT(Tr/alpha)*LN((Z+2.4142*B)/(Z-0.4142*B))</f>
        <v>-44.821320781877972</v>
      </c>
      <c r="M10" s="95" t="e">
        <f>O10*M8+(1-M8)*N10</f>
        <v>#NUM!</v>
      </c>
      <c r="N10" s="96" t="e">
        <f>H11</f>
        <v>#NUM!</v>
      </c>
      <c r="O10" s="96" t="e">
        <f>H9</f>
        <v>#NUM!</v>
      </c>
      <c r="P10" s="96"/>
    </row>
    <row r="11" spans="1:16" ht="14" thickBot="1" x14ac:dyDescent="0.2">
      <c r="A11" s="7"/>
      <c r="B11" s="8"/>
      <c r="C11" s="30">
        <f>G30-$A$20/3</f>
        <v>3.930224669389526E-4</v>
      </c>
      <c r="D11" s="8">
        <f>C11*$I$23*$B$7/$B$8</f>
        <v>62.551884255596889</v>
      </c>
      <c r="E11" s="7">
        <f>P*EXP(Z-1-LN(Z-B)-A/B/2.8284*LN((Z+2.4142*B)/(Z-0.4142*B)))</f>
        <v>2.2614017075538103E-4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>
        <f>_R*TK*(Z-1-A/B/2.8284*(1+kappa*SQRT(Tr/alpha))*LN((Z+2.4142*B)/(Z-0.4142*B)))</f>
        <v>-21520.116807061331</v>
      </c>
      <c r="J11" s="30">
        <f>I11-(Z-1)*_R*TK</f>
        <v>-20298.369785882951</v>
      </c>
      <c r="K11" s="8">
        <f>_R*LN(Z-B)-A*_R/B/2.8284*kappa*SQRT(Tr/alpha)*LN((Z+2.4142*B)/(Z-0.4142*B))</f>
        <v>-117.08562817752824</v>
      </c>
      <c r="M11" s="86"/>
    </row>
    <row r="12" spans="1:16" ht="14" thickBot="1" x14ac:dyDescent="0.2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  <c r="M12" s="86"/>
    </row>
    <row r="13" spans="1:16" x14ac:dyDescent="0.15">
      <c r="A13" s="17"/>
      <c r="B13" s="17"/>
      <c r="E13" s="88" t="s">
        <v>96</v>
      </c>
      <c r="F13" s="17"/>
      <c r="G13" s="17"/>
      <c r="H13" s="17"/>
      <c r="I13" s="17"/>
      <c r="M13" s="86"/>
    </row>
    <row r="14" spans="1:16" x14ac:dyDescent="0.15">
      <c r="C14" s="17"/>
      <c r="D14" s="17"/>
      <c r="E14" s="89">
        <f>E9/E11</f>
        <v>33.705292611857324</v>
      </c>
      <c r="F14" s="17"/>
      <c r="G14" s="17"/>
      <c r="L14" s="101" t="s">
        <v>313</v>
      </c>
      <c r="M14" s="86"/>
    </row>
    <row r="15" spans="1:16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 s="102">
        <f>E11/E9</f>
        <v>2.9668930975196631E-2</v>
      </c>
      <c r="M15" s="86"/>
    </row>
    <row r="16" spans="1:16" x14ac:dyDescent="0.15">
      <c r="A16" s="83" t="s">
        <v>98</v>
      </c>
      <c r="B16" s="20"/>
      <c r="C16" s="20"/>
      <c r="D16" s="20"/>
      <c r="E16" s="20"/>
      <c r="F16" s="20"/>
      <c r="G16" s="20"/>
      <c r="H16" s="21"/>
      <c r="M16" s="86"/>
    </row>
    <row r="17" spans="1:13" x14ac:dyDescent="0.15">
      <c r="A17" s="60"/>
      <c r="B17" s="60"/>
      <c r="C17" s="87"/>
      <c r="D17" s="17"/>
      <c r="E17" s="17"/>
      <c r="F17" s="17"/>
      <c r="G17" s="17"/>
      <c r="H17" s="17"/>
      <c r="M17" s="86"/>
    </row>
    <row r="18" spans="1:13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-3.6003282771215027E-7</v>
      </c>
      <c r="I18" s="16"/>
      <c r="L18" s="86"/>
      <c r="M18" s="86"/>
    </row>
    <row r="19" spans="1:13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 x14ac:dyDescent="0.15">
      <c r="A20" s="23">
        <f>-(1-J29)</f>
        <v>-0.99964628822972001</v>
      </c>
      <c r="B20" s="23">
        <f>J28-3*J29^2-2*J29</f>
        <v>7.1113427478008175E-3</v>
      </c>
      <c r="C20" s="23">
        <f>-(J28*J29-J29^2-J29^3)</f>
        <v>-2.6405661560125681E-6</v>
      </c>
      <c r="D20" s="23">
        <f>(3*B20-A20^2)/3</f>
        <v>-0.32598622444268466</v>
      </c>
      <c r="E20" s="23">
        <f>(2*A20^3-9*A20*B20+27*C20)/27</f>
        <v>-7.1628530696615109E-2</v>
      </c>
      <c r="F20" s="4" t="s">
        <v>63</v>
      </c>
      <c r="G20" s="20"/>
      <c r="H20" s="20"/>
      <c r="I20" s="21"/>
      <c r="L20" s="86"/>
      <c r="M20" s="86"/>
    </row>
    <row r="21" spans="1:13" x14ac:dyDescent="0.15">
      <c r="L21" s="86"/>
      <c r="M21" s="86"/>
    </row>
    <row r="22" spans="1:13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</row>
    <row r="23" spans="1:13" ht="15" x14ac:dyDescent="0.15">
      <c r="G23" s="23" t="s">
        <v>31</v>
      </c>
      <c r="H23" s="11"/>
      <c r="I23" s="90">
        <v>8.3144720000000003</v>
      </c>
      <c r="J23" s="23"/>
    </row>
    <row r="24" spans="1:13" ht="16" x14ac:dyDescent="0.2">
      <c r="A24" t="s">
        <v>64</v>
      </c>
      <c r="G24" s="1" t="s">
        <v>36</v>
      </c>
      <c r="H24" s="16">
        <f>TK/B4</f>
        <v>0.3975121687398594</v>
      </c>
      <c r="I24" s="23" t="s">
        <v>37</v>
      </c>
      <c r="J24" s="23"/>
      <c r="L24" s="17"/>
    </row>
    <row r="25" spans="1:13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1.807349983927794E-3</v>
      </c>
      <c r="I25" s="11">
        <f>0.4572355289*(B4*I23)^2*H27/C4</f>
        <v>1521017.1413292421</v>
      </c>
      <c r="J25" s="12"/>
      <c r="L25" s="86"/>
    </row>
    <row r="26" spans="1:13" ht="15" x14ac:dyDescent="0.15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0.60282728831999999</v>
      </c>
      <c r="I26" s="23" t="s">
        <v>44</v>
      </c>
      <c r="J26" s="23"/>
      <c r="L26" s="86"/>
    </row>
    <row r="27" spans="1:13" x14ac:dyDescent="0.15">
      <c r="G27" s="19" t="s">
        <v>46</v>
      </c>
      <c r="H27" s="21">
        <f>(1+kappa*(1-SQRT(Tr)))^2</f>
        <v>1.4951256986122705</v>
      </c>
      <c r="I27" s="11">
        <f>0.0777960739*I23*B4/C4</f>
        <v>56.295350967384707</v>
      </c>
      <c r="J27" s="12"/>
      <c r="L27" s="86"/>
    </row>
    <row r="28" spans="1:13" x14ac:dyDescent="0.15">
      <c r="A28" t="s">
        <v>70</v>
      </c>
      <c r="I28" s="1" t="s">
        <v>48</v>
      </c>
      <c r="J28" s="16">
        <f>I25*B8/(I23*B7)^2</f>
        <v>7.8191416244100843E-3</v>
      </c>
      <c r="L28" s="86"/>
    </row>
    <row r="29" spans="1:13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3.5371177027998171E-4</v>
      </c>
      <c r="L29" s="86"/>
    </row>
    <row r="30" spans="1:13" x14ac:dyDescent="0.15">
      <c r="A30" s="23">
        <f>2*SQRT(-D20/3)</f>
        <v>0.65927862035478813</v>
      </c>
      <c r="B30" s="23">
        <f>3*E20/D20/A30</f>
        <v>0.99985968354747412</v>
      </c>
      <c r="C30" s="23">
        <f>ACOS(B30)</f>
        <v>1.675229740064399E-2</v>
      </c>
      <c r="D30" s="23">
        <f>C30/3</f>
        <v>5.5840991335479968E-3</v>
      </c>
      <c r="E30" s="23">
        <f>$A$30*COS($D$30)</f>
        <v>0.65926834151475278</v>
      </c>
      <c r="F30" s="23">
        <f>$A$30*COS($D$30+4*PI()/3)</f>
        <v>-0.32644593457178495</v>
      </c>
      <c r="G30" s="23">
        <f>$A$30*COS($D$30+2*PI()/3)</f>
        <v>-0.33282240694296772</v>
      </c>
      <c r="L30" s="86"/>
    </row>
    <row r="31" spans="1:13" x14ac:dyDescent="0.15">
      <c r="L31" s="86"/>
    </row>
    <row r="32" spans="1:13" x14ac:dyDescent="0.15">
      <c r="A32" s="11" t="s">
        <v>99</v>
      </c>
      <c r="B32" s="22"/>
      <c r="C32" s="22"/>
      <c r="D32" s="22"/>
      <c r="E32" s="22"/>
      <c r="F32" s="22"/>
      <c r="G32" s="12"/>
      <c r="L32" s="86"/>
    </row>
    <row r="33" spans="1:12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1</v>
      </c>
      <c r="L33" s="86"/>
    </row>
    <row r="34" spans="1:12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1</v>
      </c>
      <c r="L34" s="86"/>
    </row>
    <row r="35" spans="1:12" x14ac:dyDescent="0.15">
      <c r="A35" s="23" t="s">
        <v>104</v>
      </c>
      <c r="B35" s="23">
        <f>'Ref State'!A15</f>
        <v>3</v>
      </c>
      <c r="C35" s="23"/>
      <c r="D35" s="23"/>
      <c r="L35" s="86"/>
    </row>
    <row r="36" spans="1:12" x14ac:dyDescent="0.15">
      <c r="L36" s="86"/>
    </row>
    <row r="37" spans="1:12" x14ac:dyDescent="0.15">
      <c r="L37" s="86"/>
    </row>
    <row r="38" spans="1:12" x14ac:dyDescent="0.15">
      <c r="L38" s="86"/>
    </row>
    <row r="39" spans="1:12" x14ac:dyDescent="0.15">
      <c r="L39" s="86"/>
    </row>
    <row r="40" spans="1:12" x14ac:dyDescent="0.15">
      <c r="L40" s="86"/>
    </row>
    <row r="41" spans="1:12" x14ac:dyDescent="0.15">
      <c r="L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topLeftCell="A3" zoomScale="140" zoomScaleNormal="140" zoomScalePageLayoutView="115" workbookViewId="0">
      <selection activeCell="B9" sqref="B9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PROPANE</v>
      </c>
      <c r="B4" s="74">
        <f>Props!B4</f>
        <v>369.8</v>
      </c>
      <c r="C4" s="74">
        <f>Props!C4</f>
        <v>4.2489999999999997</v>
      </c>
      <c r="D4" s="74">
        <f>Props!D4</f>
        <v>0.152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>
        <f>E33-$A$23/3</f>
        <v>0.98340950013924266</v>
      </c>
      <c r="F9" s="6">
        <f>E9*$I$26*$B$7/$B$8</f>
        <v>24366.061645256352</v>
      </c>
      <c r="G9" s="5">
        <f>P*EXP(Z-1-LN(Z-B)-A/B/2.8284*LN((Z+2.414*B)/(Z-0.414*B)))</f>
        <v>9.8364041542871206E-2</v>
      </c>
      <c r="H9" s="29">
        <f>_R*TK*(Z-1-A/B/2.8284*(1+kappa*SQRT(Tr/alpha))*LN((Z+2.4142*B)/(Z-0.4142*B)))</f>
        <v>-111.99072717242281</v>
      </c>
      <c r="I9" s="29">
        <f>H9-(Z-1)*_R*TK</f>
        <v>-70.88423569805812</v>
      </c>
      <c r="J9" s="6">
        <f>_R*LN(Z-B)-A*_R/B/2.8284*kappa*SQRT(Tr/alpha)*LN((Z+2.4142*B)/(Z-0.4142*B))</f>
        <v>-0.23863930743613684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>
        <f>F33-$A$23/3</f>
        <v>1.0814499519578247E-2</v>
      </c>
      <c r="F10" s="28">
        <f>E10*$I$26*$B$7/$B$8</f>
        <v>267.95222327964939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>
        <f>G33-$A$23/3</f>
        <v>3.5039309455990875E-3</v>
      </c>
      <c r="F11" s="8">
        <f>E11*$I$26*$B$7/$B$8</f>
        <v>86.817340496609063</v>
      </c>
      <c r="G11" s="7">
        <f>P*EXP(Z-1-LN(Z-B)-A/B/2.8284*LN((Z+2.414*B)/(Z-0.414*B)))</f>
        <v>0.78143337999186002</v>
      </c>
      <c r="H11" s="30">
        <f>_R*TK*(Z-1-A/B/2.8284*(1+kappa*SQRT(Tr/alpha))*LN((Z+2.4142*B)/(Z-0.4142*B)))</f>
        <v>-16112.74755341223</v>
      </c>
      <c r="I11" s="30">
        <f>H11-(Z-1)*_R*TK</f>
        <v>-13643.716631461892</v>
      </c>
      <c r="J11" s="8">
        <f>_R*LN(Z-B)-A*_R/B/2.8284*kappa*SQRT(Tr/alpha)*LN((Z+2.4142*B)/(Z-0.4142*B))</f>
        <v>-71.158335929390034</v>
      </c>
      <c r="K11" s="7"/>
      <c r="L11" s="8"/>
    </row>
    <row r="12" spans="1:12" ht="14" thickBot="1" x14ac:dyDescent="0.2">
      <c r="A12" s="75">
        <v>1</v>
      </c>
      <c r="B12" s="43"/>
      <c r="C12" s="57">
        <v>3</v>
      </c>
      <c r="D12" s="43"/>
      <c r="E12" s="35" t="e">
        <f>C29-A23/3</f>
        <v>#NUM!</v>
      </c>
      <c r="F12" s="32" t="e">
        <f>E12*$I$26*$B$7/$B$8</f>
        <v>#NUM!</v>
      </c>
      <c r="G12" s="31" t="e">
        <f>P*EXP(Z-1-LN(Z-B)-A/B/2.8284*LN((Z+2.414*B)/(Z-0.414*B)))</f>
        <v>#NUM!</v>
      </c>
      <c r="H12" s="35" t="e">
        <f>_R*TK*(Z-1-A/B/2.8284*(1+kappa*SQRT(Tr/alpha))*LN((Z+2.4142*B)/(Z-0.4142*B)))</f>
        <v>#NUM!</v>
      </c>
      <c r="I12" s="35" t="e">
        <f>H12-(Z-1)*_R*TK</f>
        <v>#NUM!</v>
      </c>
      <c r="J12" s="32" t="e">
        <f>_R*LN(Z-B)-A*_R/B/2.8284*kappa*SQRT(Tr/alpha)*LN((Z+2.4142*B)/(Z-0.4142*B))</f>
        <v>#NUM!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3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 t="e">
        <f>IF(igrflag=0,1,CHOOSE(index,E9,E11,E12))</f>
        <v>#NUM!</v>
      </c>
      <c r="D18" s="69" t="e">
        <f>uhflag*$C$18*_R*TK</f>
        <v>#NUM!</v>
      </c>
      <c r="E18" s="69" t="e">
        <f>(uhflag-1)*$C$18*_R*TK</f>
        <v>#NUM!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 t="e">
        <f>igrflag*CHOOSE(index,H9,H11,H12)</f>
        <v>#NUM!</v>
      </c>
      <c r="E19" s="62" t="e">
        <f>igrflag*CHOOSE(index,I9,I11,I12)</f>
        <v>#NUM!</v>
      </c>
      <c r="F19" s="63" t="e">
        <f>igrflag*CHOOSE(index,J9,J11,J12)</f>
        <v>#NUM!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-4.4948072480547122E-7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-0.99772793060442011</v>
      </c>
      <c r="B23" s="23">
        <f>J31-3*J32^2-2*J32</f>
        <v>1.4118773806066414E-2</v>
      </c>
      <c r="C23" s="23">
        <f>-(J31*J32-J32^2-J32^3)</f>
        <v>-3.7264591410883456E-5</v>
      </c>
      <c r="D23" s="23">
        <f>(3*B23-A23^2)/3</f>
        <v>-0.31770156736332644</v>
      </c>
      <c r="E23" s="23">
        <f>(2*A23^3-9*A23*B23+27*C23)/27</f>
        <v>-6.8912015673431595E-2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0.80584099513250407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2.3534949399858795E-2</v>
      </c>
      <c r="I28" s="11">
        <f>0.4572355289*(B4*I26)^2*H30/C4</f>
        <v>1146678.1531176986</v>
      </c>
      <c r="J28" s="12"/>
    </row>
    <row r="29" spans="1:10" ht="15" x14ac:dyDescent="0.15">
      <c r="A29" s="23" t="e">
        <f>(-$E$23/2+SQRT($H$21))^(1/3)</f>
        <v>#NUM!</v>
      </c>
      <c r="B29" s="23" t="e">
        <f>(-$E$23/2-SQRT($H$21))^(1/3)</f>
        <v>#NUM!</v>
      </c>
      <c r="C29" s="23" t="e">
        <f>A29+B29</f>
        <v>#NUM!</v>
      </c>
      <c r="D29" s="17"/>
      <c r="G29" s="3" t="s">
        <v>43</v>
      </c>
      <c r="H29" s="18">
        <f>0.37464+1.54226*D4-0.26992*D4^2</f>
        <v>0.60282728831999999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1.1271588782130753</v>
      </c>
      <c r="I30" s="11">
        <f>0.0777960739*I26*B4/C4</f>
        <v>56.295350967384707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1.867839949524111E-2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2.2720693955798526E-3</v>
      </c>
    </row>
    <row r="33" spans="1:7" x14ac:dyDescent="0.15">
      <c r="A33" s="23">
        <f>2*SQRT(-D23/3)</f>
        <v>0.65084720927247475</v>
      </c>
      <c r="B33" s="23">
        <f>3*E23/D23/A33</f>
        <v>0.99981075349613413</v>
      </c>
      <c r="C33" s="23">
        <f>ACOS(B33)</f>
        <v>1.9455203581920655E-2</v>
      </c>
      <c r="D33" s="23">
        <f>C33/3</f>
        <v>6.4850678606402186E-3</v>
      </c>
      <c r="E33" s="23">
        <f>$A$33*COS($D$33)</f>
        <v>0.65083352327110267</v>
      </c>
      <c r="F33" s="23">
        <f>$A$33*COS($D$33+4*PI()/3)</f>
        <v>-0.32176147734856181</v>
      </c>
      <c r="G33" s="23">
        <f>$A$33*COS($D$33+2*PI()/3)</f>
        <v>-0.32907204592254097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topLeftCell="A7" workbookViewId="0">
      <selection activeCell="C14" sqref="C14:F14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9" zoomScale="145" zoomScaleNormal="145" workbookViewId="0">
      <selection activeCell="D17" sqref="D17:G17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2021-03-25T03:02:35Z</dcterms:modified>
</cp:coreProperties>
</file>