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7 ChE Thermo 2021/"/>
    </mc:Choice>
  </mc:AlternateContent>
  <xr:revisionPtr revIDLastSave="0" documentId="8_{F325C192-29BB-EC43-A336-1B7654D517B0}" xr6:coauthVersionLast="34" xr6:coauthVersionMax="34" xr10:uidLastSave="{00000000-0000-0000-0000-000000000000}"/>
  <bookViews>
    <workbookView xWindow="1440" yWindow="720" windowWidth="29560" windowHeight="211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I9" i="3"/>
  <c r="E9" i="3"/>
  <c r="G12" i="4"/>
  <c r="H12" i="4"/>
  <c r="I12" i="4" s="1"/>
  <c r="F12" i="4"/>
  <c r="J12" i="4"/>
  <c r="J9" i="4" l="1"/>
  <c r="C18" i="4"/>
  <c r="G11" i="4"/>
  <c r="J11" i="4"/>
  <c r="F9" i="4"/>
  <c r="H9" i="4"/>
  <c r="I9" i="4" s="1"/>
  <c r="I12" i="3"/>
  <c r="J12" i="3" s="1"/>
  <c r="D12" i="3"/>
  <c r="E12" i="3"/>
  <c r="F11" i="4"/>
  <c r="E19" i="4"/>
  <c r="D19" i="4"/>
  <c r="E14" i="3"/>
  <c r="J9" i="3"/>
  <c r="J11" i="3"/>
  <c r="J10" i="3"/>
  <c r="F19" i="4" l="1"/>
  <c r="H11" i="3" s="1"/>
  <c r="N10" i="3" s="1"/>
  <c r="H9" i="3"/>
  <c r="O10" i="3" s="1"/>
  <c r="E18" i="4"/>
  <c r="D18" i="4"/>
  <c r="F9" i="3" s="1"/>
  <c r="O8" i="3" s="1"/>
  <c r="H10" i="3" l="1"/>
  <c r="H12" i="3"/>
  <c r="F12" i="3"/>
  <c r="G12" i="3" s="1"/>
  <c r="G9" i="3"/>
  <c r="F10" i="3"/>
  <c r="G10" i="3" s="1"/>
  <c r="F11" i="3"/>
  <c r="N8" i="3" s="1"/>
  <c r="M8" i="3" s="1"/>
  <c r="M10" i="3" s="1"/>
  <c r="G11" i="3" l="1"/>
</calcChain>
</file>

<file path=xl/sharedStrings.xml><?xml version="1.0" encoding="utf-8"?>
<sst xmlns="http://schemas.openxmlformats.org/spreadsheetml/2006/main" count="507" uniqueCount="313">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</sst>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N31" sqref="N31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134</v>
      </c>
      <c r="B4">
        <v>305.39999999999998</v>
      </c>
      <c r="C4">
        <v>4.88</v>
      </c>
      <c r="D4">
        <v>9.9000000000000005E-2</v>
      </c>
      <c r="E4">
        <v>5.4089999999999998</v>
      </c>
      <c r="F4" s="91">
        <v>0.17810000000000001</v>
      </c>
      <c r="G4" s="91">
        <v>-6.9380000000000003E-5</v>
      </c>
      <c r="H4" s="91">
        <v>8.713E-9</v>
      </c>
      <c r="I4" s="20"/>
      <c r="J4" s="4">
        <f>CPA*(TK-TREF)+CPB/2*(TK^2-TREF^2)+CPC/3*(TK^3-TREF^3)+CPD/4*(TK^4-TREF^4)</f>
        <v>-4947.8034912251123</v>
      </c>
      <c r="K4" s="20">
        <f>J4-_R*(TK-TREF)</f>
        <v>-4024.9730331224414</v>
      </c>
      <c r="L4" s="21">
        <f>CPA*LN(TK/TREF)+CPB*(TK-TREF)+CPC/2*(TK^2-TREF^2)+CPD/3*(TK^3-TREF^3)-_R*LN(P/PREF)</f>
        <v>-21.712202062773173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187.00913273835417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0.11600000000000001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>
        <f>(P8-N8)/(O8-N8)</f>
        <v>0.29469327676549084</v>
      </c>
      <c r="N8" s="98">
        <f>F11</f>
        <v>-19594.772499447441</v>
      </c>
      <c r="O8" s="98">
        <f>F9</f>
        <v>-5021.06879440802</v>
      </c>
      <c r="P8" s="98">
        <v>-15300</v>
      </c>
    </row>
    <row r="9" spans="1:16" x14ac:dyDescent="0.15">
      <c r="A9" s="36" t="s">
        <v>42</v>
      </c>
      <c r="B9" s="44"/>
      <c r="C9" s="29">
        <f>E30-$A$20/3</f>
        <v>0.9661266939609835</v>
      </c>
      <c r="D9" s="6">
        <f>C9*$I$23*$B$7/$B$8</f>
        <v>12950.113770287364</v>
      </c>
      <c r="E9" s="5">
        <f>P*EXP(Z-1-LN(Z-B)-A/B/2.8284*LN((Z+2.4142*B)/(Z-0.4142*B)))</f>
        <v>0.11218886767428553</v>
      </c>
      <c r="F9" s="29">
        <f>I9+$J$4-'Ref State'!$D$19+'Ref State'!$D$18</f>
        <v>-5021.06879440802</v>
      </c>
      <c r="G9" s="29">
        <f>F9-Z*_R*TK</f>
        <v>-6523.2819917613542</v>
      </c>
      <c r="H9" s="29">
        <f>K9+$L$4-'Ref State'!$F$19+'Ref State'!$F$18</f>
        <v>-22.011959504559254</v>
      </c>
      <c r="I9" s="29">
        <f>_R*TK*(Z-1-A/B/2.8284*(1+kappa*SQRT(Tr/alpha))*LN((Z+2.4142*B)/(Z-0.4142*B)))</f>
        <v>-131.66515598563049</v>
      </c>
      <c r="J9" s="29">
        <f>I9-(Z-1)*_R*TK</f>
        <v>-78.996155441635636</v>
      </c>
      <c r="K9" s="6">
        <f>_R*LN(Z-B)-A*_R/B/2.8284*kappa*SQRT(Tr/alpha)*LN((Z+2.4142*B)/(Z-0.4142*B))</f>
        <v>-0.42630060193624153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>
        <f>F30-$A$20/3</f>
        <v>2.7045068573246178E-2</v>
      </c>
      <c r="D10" s="28">
        <f>C10*$I$23*$B$7/$B$8</f>
        <v>362.51634194356035</v>
      </c>
      <c r="E10" s="54"/>
      <c r="F10" s="17">
        <f>I10+$J$4-'Ref State'!$D$19+'Ref State'!$D$18</f>
        <v>-8965.997861576383</v>
      </c>
      <c r="G10" s="17">
        <f>F10-Z*_R*TK</f>
        <v>-9008.0497572418353</v>
      </c>
      <c r="H10" s="17">
        <f>K10+$L$4-'Ref State'!$F$19+'Ref State'!$F$18</f>
        <v>-56.279170087337896</v>
      </c>
      <c r="I10" s="17">
        <f>_R*TK*(Z-1-A/B/2.8284*(1+kappa*SQRT(Tr/alpha))*LN((Z+2.4142*B)/(Z-0.4142*B)))</f>
        <v>-4076.5942231539943</v>
      </c>
      <c r="J10" s="17">
        <f>I10-(Z-1)*_R*TK</f>
        <v>-2563.7639209221184</v>
      </c>
      <c r="K10" s="28">
        <f>_R*LN(Z-B)-A*_R/B/2.8284*kappa*SQRT(Tr/alpha)*LN((Z+2.4142*B)/(Z-0.4142*B))</f>
        <v>-34.693511184714879</v>
      </c>
      <c r="M10" s="95">
        <f>O10*M8+(1-M8)*N10</f>
        <v>-76.976819433332651</v>
      </c>
      <c r="N10" s="96">
        <f>H11</f>
        <v>-99.942394757900786</v>
      </c>
      <c r="O10" s="96">
        <f>H9</f>
        <v>-22.011959504559254</v>
      </c>
      <c r="P10" s="96"/>
    </row>
    <row r="11" spans="1:16" ht="14" thickBot="1" x14ac:dyDescent="0.2">
      <c r="A11" s="7"/>
      <c r="B11" s="8"/>
      <c r="C11" s="30">
        <f>G30-$A$20/3</f>
        <v>3.8082713930974177E-3</v>
      </c>
      <c r="D11" s="8">
        <f>C11*$I$23*$B$7/$B$8</f>
        <v>51.046667188696858</v>
      </c>
      <c r="E11" s="7">
        <f>P*EXP(Z-1-LN(Z-B)-A/B/2.8284*LN((Z+2.4142*B)/(Z-0.4142*B)))</f>
        <v>0.11218882478751348</v>
      </c>
      <c r="F11" s="30">
        <f>I11+$J$4-'Ref State'!$D$19+'Ref State'!$D$18</f>
        <v>-19594.772499447441</v>
      </c>
      <c r="G11" s="30">
        <f>F11-Z*_R*TK</f>
        <v>-19600.693912841329</v>
      </c>
      <c r="H11" s="30">
        <f>K11+$L$4-'Ref State'!$F$19+'Ref State'!$F$18</f>
        <v>-99.942394757900786</v>
      </c>
      <c r="I11" s="30">
        <f>_R*TK*(Z-1-A/B/2.8284*(1+kappa*SQRT(Tr/alpha))*LN((Z+2.4142*B)/(Z-0.4142*B)))</f>
        <v>-14705.36886102505</v>
      </c>
      <c r="J11" s="30">
        <f>I11-(Z-1)*_R*TK</f>
        <v>-13156.408076521609</v>
      </c>
      <c r="K11" s="8">
        <f>_R*LN(Z-B)-A*_R/B/2.8284*kappa*SQRT(Tr/alpha)*LN((Z+2.4142*B)/(Z-0.4142*B))</f>
        <v>-78.356735855277776</v>
      </c>
      <c r="M11" s="86"/>
    </row>
    <row r="12" spans="1:16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>
        <f>E9/E11</f>
        <v>1.0000003822731198</v>
      </c>
      <c r="F14" s="17"/>
      <c r="G14" s="17"/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-4.0829406314606131E-6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-0.99698003392732726</v>
      </c>
      <c r="B20" s="23">
        <f>J28-3*J29^2-2*J29</f>
        <v>2.9911230300309802E-2</v>
      </c>
      <c r="C20" s="23">
        <f>-(J28*J29-J29^2-J29^3)</f>
        <v>-9.9506181138367766E-5</v>
      </c>
      <c r="D20" s="23">
        <f>(3*B20-A20^2)/3</f>
        <v>-0.30141183238293506</v>
      </c>
      <c r="E20" s="23">
        <f>(2*A20^3-9*A20*B20+27*C20)/27</f>
        <v>-6.3564201553456379E-2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0.61234162651720425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2.3770491803278691E-2</v>
      </c>
      <c r="I25" s="11">
        <f>0.4572355289*(B4*I23)^2*H27/C4</f>
        <v>749860.23617286421</v>
      </c>
      <c r="J25" s="12"/>
      <c r="L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0.52467825407999991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1.2412314220561689</v>
      </c>
      <c r="I27" s="11">
        <f>0.0777960739*I23*B4/C4</f>
        <v>40.480099005627508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3.5978523030895611E-2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3.019966072672763E-3</v>
      </c>
      <c r="L29" s="86"/>
    </row>
    <row r="30" spans="1:13" x14ac:dyDescent="0.15">
      <c r="A30" s="23">
        <f>2*SQRT(-D20/3)</f>
        <v>0.63394198723325368</v>
      </c>
      <c r="B30" s="23">
        <f>3*E20/D20/A30</f>
        <v>0.99798505264953563</v>
      </c>
      <c r="C30" s="23">
        <f>ACOS(B30)</f>
        <v>6.3492115779699931E-2</v>
      </c>
      <c r="D30" s="23">
        <f>C30/3</f>
        <v>2.1164038593233309E-2</v>
      </c>
      <c r="E30" s="23">
        <f>$A$30*COS($D$30)</f>
        <v>0.63380001598520774</v>
      </c>
      <c r="F30" s="23">
        <f>$A$30*COS($D$30+4*PI()/3)</f>
        <v>-0.30528160940252957</v>
      </c>
      <c r="G30" s="23">
        <f>$A$30*COS($D$30+2*PI()/3)</f>
        <v>-0.32851840658267834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</row>
    <row r="34" spans="1:12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</row>
    <row r="35" spans="1:12" x14ac:dyDescent="0.15">
      <c r="A35" s="23" t="s">
        <v>104</v>
      </c>
      <c r="B35" s="23">
        <f>'Ref State'!A15</f>
        <v>3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B15" sqref="B15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ETHANE</v>
      </c>
      <c r="B4" s="74">
        <f>Props!B4</f>
        <v>305.39999999999998</v>
      </c>
      <c r="C4" s="74">
        <f>Props!C4</f>
        <v>4.88</v>
      </c>
      <c r="D4" s="74">
        <f>Props!D4</f>
        <v>9.9000000000000005E-2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>
        <f>C29-A23/3</f>
        <v>0.99163218256048513</v>
      </c>
      <c r="F12" s="32">
        <f>E12*$I$26*$B$7/$B$8</f>
        <v>24569.796088270166</v>
      </c>
      <c r="G12" s="31">
        <f>P*EXP(Z-1-LN(Z-B)-A/B/2.8284*LN((Z+2.414*B)/(Z-0.414*B)))</f>
        <v>9.9168573531775925E-2</v>
      </c>
      <c r="H12" s="35">
        <f>_R*TK*(Z-1-A/B/2.8284*(1+kappa*SQRT(Tr/alpha))*LN((Z+2.4142*B)/(Z-0.4142*B)))</f>
        <v>-58.399852802723252</v>
      </c>
      <c r="I12" s="35">
        <f>H12-(Z-1)*_R*TK</f>
        <v>-37.666805629739741</v>
      </c>
      <c r="J12" s="32">
        <f>_R*LN(Z-B)-A*_R/B/2.8284*kappa*SQRT(Tr/alpha)*LN((Z+2.4142*B)/(Z-0.4142*B))</f>
        <v>-0.12654316015015926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0.99163218256048513</v>
      </c>
      <c r="D18" s="69">
        <f>uhflag*$C$18*_R*TK</f>
        <v>0</v>
      </c>
      <c r="E18" s="69">
        <f>(uhflag-1)*$C$18*_R*TK</f>
        <v>-2456.9796088270168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-58.399852802723252</v>
      </c>
      <c r="E19" s="62">
        <f>igrflag*CHOOSE(index,I9,I11,I12)</f>
        <v>-37.666805629739741</v>
      </c>
      <c r="F19" s="63">
        <f>igrflag*CHOOSE(index,J9,J11,J12)</f>
        <v>-0.12654316015015926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8.4371470101879051E-8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-0.99836623109190648</v>
      </c>
      <c r="B23" s="23">
        <f>J31-3*J32^2-2*J32</f>
        <v>6.6914242545328172E-3</v>
      </c>
      <c r="C23" s="23">
        <f>-(J31*J32-J32^2-J32^3)</f>
        <v>-1.3610163457672424E-5</v>
      </c>
      <c r="D23" s="23">
        <f>(3*B23-A23^2)/3</f>
        <v>-0.32555361954035317</v>
      </c>
      <c r="E23" s="23">
        <f>(2*A23^3-9*A23*B23+27*C23)/27</f>
        <v>-7.1498386641682871E-2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0.97576948264571062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2.0491803278688527E-2</v>
      </c>
      <c r="I28" s="11">
        <f>0.4572355289*(B4*I26)^2*H30/C4</f>
        <v>611878.24899131001</v>
      </c>
      <c r="J28" s="12"/>
    </row>
    <row r="29" spans="1:10" ht="15" x14ac:dyDescent="0.15">
      <c r="A29" s="23">
        <f>(-$E$23/2+SQRT($H$21))^(1/3)</f>
        <v>0.33031393753745925</v>
      </c>
      <c r="B29" s="23">
        <f>(-$E$23/2-SQRT($H$21))^(1/3)</f>
        <v>0.32852950132572373</v>
      </c>
      <c r="C29" s="23">
        <f>A29+B29</f>
        <v>0.65884343886318297</v>
      </c>
      <c r="D29" s="17"/>
      <c r="G29" s="3" t="s">
        <v>43</v>
      </c>
      <c r="H29" s="18">
        <f>0.37464+1.54226*D4-0.26992*D4^2</f>
        <v>0.52467825407999991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1.0128320885462179</v>
      </c>
      <c r="I30" s="11">
        <f>0.0777960739*I26*B4/C4</f>
        <v>40.480099005627508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9.9669696732551261E-3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1.6337689080935746E-3</v>
      </c>
    </row>
    <row r="33" spans="1:7" x14ac:dyDescent="0.15">
      <c r="A33" s="23">
        <f>2*SQRT(-D23/3)</f>
        <v>0.65884102234186281</v>
      </c>
      <c r="B33" s="23">
        <f>3*E23/D23/A33</f>
        <v>1.0000330106922686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13" sqref="C13:F13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zoomScale="145" zoomScaleNormal="145" workbookViewId="0">
      <selection activeCell="D16" sqref="D16:G16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2021-02-24T21:22:34Z</dcterms:modified>
</cp:coreProperties>
</file>